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nstitutional Finance\Division Website\Finance Division Webpage\NMHED Funding Recommendation\General Fund Summary\"/>
    </mc:Choice>
  </mc:AlternateContent>
  <bookViews>
    <workbookView xWindow="0" yWindow="465" windowWidth="25605" windowHeight="13980" tabRatio="500"/>
  </bookViews>
  <sheets>
    <sheet name="GF Summary" sheetId="1" r:id="rId1"/>
    <sheet name="Formula I&amp;G" sheetId="2" r:id="rId2"/>
    <sheet name="Historical GF Support" sheetId="5" r:id="rId3"/>
  </sheets>
  <definedNames>
    <definedName name="_xlnm.Print_Titles" localSheetId="0">'GF Summary'!$1:$3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0" i="1" l="1"/>
  <c r="R300" i="1"/>
  <c r="O301" i="1"/>
  <c r="R301" i="1"/>
  <c r="R302" i="1"/>
  <c r="O295" i="1"/>
  <c r="R295" i="1"/>
  <c r="O296" i="1"/>
  <c r="R296" i="1"/>
  <c r="O294" i="1"/>
  <c r="R294" i="1"/>
  <c r="O289" i="1"/>
  <c r="R289" i="1"/>
  <c r="O290" i="1"/>
  <c r="R290" i="1"/>
  <c r="O288" i="1"/>
  <c r="R288" i="1"/>
  <c r="R291" i="1"/>
  <c r="R297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64" i="1"/>
  <c r="O282" i="1"/>
  <c r="R282" i="1"/>
  <c r="O283" i="1"/>
  <c r="R283" i="1"/>
  <c r="N284" i="1"/>
  <c r="O284" i="1"/>
  <c r="R284" i="1"/>
  <c r="R285" i="1"/>
  <c r="O275" i="1"/>
  <c r="R275" i="1"/>
  <c r="R276" i="1"/>
  <c r="O277" i="1"/>
  <c r="R277" i="1"/>
  <c r="O278" i="1"/>
  <c r="R278" i="1"/>
  <c r="R279" i="1"/>
  <c r="O258" i="1"/>
  <c r="R258" i="1"/>
  <c r="O259" i="1"/>
  <c r="R259" i="1"/>
  <c r="O260" i="1"/>
  <c r="R260" i="1"/>
  <c r="O261" i="1"/>
  <c r="R261" i="1"/>
  <c r="N262" i="1"/>
  <c r="O262" i="1"/>
  <c r="R262" i="1"/>
  <c r="R263" i="1"/>
  <c r="O249" i="1"/>
  <c r="R249" i="1"/>
  <c r="O250" i="1"/>
  <c r="R250" i="1"/>
  <c r="O251" i="1"/>
  <c r="R251" i="1"/>
  <c r="O252" i="1"/>
  <c r="R252" i="1"/>
  <c r="O253" i="1"/>
  <c r="R253" i="1"/>
  <c r="R255" i="1"/>
  <c r="O243" i="1"/>
  <c r="R243" i="1"/>
  <c r="O244" i="1"/>
  <c r="R244" i="1"/>
  <c r="N245" i="1"/>
  <c r="O245" i="1"/>
  <c r="R245" i="1"/>
  <c r="R246" i="1"/>
  <c r="O233" i="1"/>
  <c r="R233" i="1"/>
  <c r="R234" i="1"/>
  <c r="O235" i="1"/>
  <c r="R235" i="1"/>
  <c r="O236" i="1"/>
  <c r="R236" i="1"/>
  <c r="O237" i="1"/>
  <c r="R237" i="1"/>
  <c r="N238" i="1"/>
  <c r="O238" i="1"/>
  <c r="R238" i="1"/>
  <c r="O239" i="1"/>
  <c r="R239" i="1"/>
  <c r="R240" i="1"/>
  <c r="O221" i="1"/>
  <c r="R221" i="1"/>
  <c r="O222" i="1"/>
  <c r="R222" i="1"/>
  <c r="O223" i="1"/>
  <c r="R223" i="1"/>
  <c r="O224" i="1"/>
  <c r="R224" i="1"/>
  <c r="O225" i="1"/>
  <c r="R225" i="1"/>
  <c r="O226" i="1"/>
  <c r="R226" i="1"/>
  <c r="R230" i="1"/>
  <c r="O203" i="1"/>
  <c r="R203" i="1"/>
  <c r="O204" i="1"/>
  <c r="R204" i="1"/>
  <c r="O205" i="1"/>
  <c r="R205" i="1"/>
  <c r="N206" i="1"/>
  <c r="O206" i="1"/>
  <c r="R206" i="1"/>
  <c r="O207" i="1"/>
  <c r="R207" i="1"/>
  <c r="O208" i="1"/>
  <c r="R208" i="1"/>
  <c r="O209" i="1"/>
  <c r="R209" i="1"/>
  <c r="O210" i="1"/>
  <c r="R210" i="1"/>
  <c r="O211" i="1"/>
  <c r="R211" i="1"/>
  <c r="O212" i="1"/>
  <c r="R212" i="1"/>
  <c r="O213" i="1"/>
  <c r="R213" i="1"/>
  <c r="O214" i="1"/>
  <c r="R214" i="1"/>
  <c r="O215" i="1"/>
  <c r="R215" i="1"/>
  <c r="O216" i="1"/>
  <c r="R216" i="1"/>
  <c r="R218" i="1"/>
  <c r="O181" i="1"/>
  <c r="R181" i="1"/>
  <c r="O184" i="1"/>
  <c r="R184" i="1"/>
  <c r="O189" i="1"/>
  <c r="R189" i="1"/>
  <c r="O182" i="1"/>
  <c r="R182" i="1"/>
  <c r="O183" i="1"/>
  <c r="R183" i="1"/>
  <c r="O185" i="1"/>
  <c r="R185" i="1"/>
  <c r="O186" i="1"/>
  <c r="R186" i="1"/>
  <c r="O187" i="1"/>
  <c r="R187" i="1"/>
  <c r="R188" i="1"/>
  <c r="N190" i="1"/>
  <c r="O190" i="1"/>
  <c r="R190" i="1"/>
  <c r="R191" i="1"/>
  <c r="O192" i="1"/>
  <c r="R192" i="1"/>
  <c r="O193" i="1"/>
  <c r="R193" i="1"/>
  <c r="O194" i="1"/>
  <c r="R194" i="1"/>
  <c r="O195" i="1"/>
  <c r="R195" i="1"/>
  <c r="O196" i="1"/>
  <c r="R196" i="1"/>
  <c r="N197" i="1"/>
  <c r="O197" i="1"/>
  <c r="R197" i="1"/>
  <c r="N198" i="1"/>
  <c r="O198" i="1"/>
  <c r="R198" i="1"/>
  <c r="N199" i="1"/>
  <c r="O199" i="1"/>
  <c r="R199" i="1"/>
  <c r="R200" i="1"/>
  <c r="O169" i="1"/>
  <c r="R169" i="1"/>
  <c r="O170" i="1"/>
  <c r="R170" i="1"/>
  <c r="O171" i="1"/>
  <c r="R171" i="1"/>
  <c r="O172" i="1"/>
  <c r="R172" i="1"/>
  <c r="O173" i="1"/>
  <c r="R173" i="1"/>
  <c r="O174" i="1"/>
  <c r="R174" i="1"/>
  <c r="O175" i="1"/>
  <c r="R175" i="1"/>
  <c r="O176" i="1"/>
  <c r="R176" i="1"/>
  <c r="N177" i="1"/>
  <c r="O177" i="1"/>
  <c r="R177" i="1"/>
  <c r="R178" i="1"/>
  <c r="O158" i="1"/>
  <c r="R158" i="1"/>
  <c r="O159" i="1"/>
  <c r="R159" i="1"/>
  <c r="O160" i="1"/>
  <c r="R160" i="1"/>
  <c r="N161" i="1"/>
  <c r="O161" i="1"/>
  <c r="R161" i="1"/>
  <c r="O162" i="1"/>
  <c r="R162" i="1"/>
  <c r="O163" i="1"/>
  <c r="R163" i="1"/>
  <c r="O164" i="1"/>
  <c r="R164" i="1"/>
  <c r="O165" i="1"/>
  <c r="R165" i="1"/>
  <c r="R166" i="1"/>
  <c r="O124" i="1"/>
  <c r="R124" i="1"/>
  <c r="O127" i="1"/>
  <c r="R127" i="1"/>
  <c r="O129" i="1"/>
  <c r="R129" i="1"/>
  <c r="O132" i="1"/>
  <c r="R132" i="1"/>
  <c r="O135" i="1"/>
  <c r="R135" i="1"/>
  <c r="O125" i="1"/>
  <c r="R125" i="1"/>
  <c r="O126" i="1"/>
  <c r="R126" i="1"/>
  <c r="N128" i="1"/>
  <c r="O128" i="1"/>
  <c r="R128" i="1"/>
  <c r="O130" i="1"/>
  <c r="R130" i="1"/>
  <c r="O131" i="1"/>
  <c r="R131" i="1"/>
  <c r="O133" i="1"/>
  <c r="R133" i="1"/>
  <c r="O134" i="1"/>
  <c r="R134" i="1"/>
  <c r="O136" i="1"/>
  <c r="R136" i="1"/>
  <c r="L137" i="1"/>
  <c r="O137" i="1"/>
  <c r="R137" i="1"/>
  <c r="R138" i="1"/>
  <c r="O139" i="1"/>
  <c r="R139" i="1"/>
  <c r="O140" i="1"/>
  <c r="R140" i="1"/>
  <c r="O141" i="1"/>
  <c r="R141" i="1"/>
  <c r="O142" i="1"/>
  <c r="R142" i="1"/>
  <c r="O143" i="1"/>
  <c r="R143" i="1"/>
  <c r="O144" i="1"/>
  <c r="R144" i="1"/>
  <c r="O145" i="1"/>
  <c r="R145" i="1"/>
  <c r="O146" i="1"/>
  <c r="R146" i="1"/>
  <c r="O147" i="1"/>
  <c r="R147" i="1"/>
  <c r="O148" i="1"/>
  <c r="R148" i="1"/>
  <c r="O149" i="1"/>
  <c r="R149" i="1"/>
  <c r="O150" i="1"/>
  <c r="R150" i="1"/>
  <c r="O151" i="1"/>
  <c r="R151" i="1"/>
  <c r="O152" i="1"/>
  <c r="R152" i="1"/>
  <c r="N153" i="1"/>
  <c r="O153" i="1"/>
  <c r="R153" i="1"/>
  <c r="N154" i="1"/>
  <c r="O154" i="1"/>
  <c r="R154" i="1"/>
  <c r="R155" i="1"/>
  <c r="O68" i="1"/>
  <c r="R68" i="1"/>
  <c r="O71" i="1"/>
  <c r="R71" i="1"/>
  <c r="O73" i="1"/>
  <c r="R73" i="1"/>
  <c r="O74" i="1"/>
  <c r="R74" i="1"/>
  <c r="O76" i="1"/>
  <c r="R76" i="1"/>
  <c r="O69" i="1"/>
  <c r="R69" i="1"/>
  <c r="O70" i="1"/>
  <c r="R70" i="1"/>
  <c r="O72" i="1"/>
  <c r="R72" i="1"/>
  <c r="O75" i="1"/>
  <c r="R75" i="1"/>
  <c r="O77" i="1"/>
  <c r="R77" i="1"/>
  <c r="R78" i="1"/>
  <c r="O79" i="1"/>
  <c r="R79" i="1"/>
  <c r="O80" i="1"/>
  <c r="R80" i="1"/>
  <c r="O81" i="1"/>
  <c r="R81" i="1"/>
  <c r="O82" i="1"/>
  <c r="R82" i="1"/>
  <c r="O83" i="1"/>
  <c r="R83" i="1"/>
  <c r="O84" i="1"/>
  <c r="R84" i="1"/>
  <c r="O85" i="1"/>
  <c r="R85" i="1"/>
  <c r="O86" i="1"/>
  <c r="R86" i="1"/>
  <c r="O87" i="1"/>
  <c r="R87" i="1"/>
  <c r="O88" i="1"/>
  <c r="R88" i="1"/>
  <c r="O89" i="1"/>
  <c r="R89" i="1"/>
  <c r="O90" i="1"/>
  <c r="R90" i="1"/>
  <c r="O91" i="1"/>
  <c r="R91" i="1"/>
  <c r="O92" i="1"/>
  <c r="R92" i="1"/>
  <c r="O93" i="1"/>
  <c r="R93" i="1"/>
  <c r="O94" i="1"/>
  <c r="R94" i="1"/>
  <c r="O95" i="1"/>
  <c r="R95" i="1"/>
  <c r="O96" i="1"/>
  <c r="R96" i="1"/>
  <c r="N97" i="1"/>
  <c r="O97" i="1"/>
  <c r="R97" i="1"/>
  <c r="N98" i="1"/>
  <c r="O98" i="1"/>
  <c r="R98" i="1"/>
  <c r="O99" i="1"/>
  <c r="R99" i="1"/>
  <c r="O100" i="1"/>
  <c r="R100" i="1"/>
  <c r="R101" i="1"/>
  <c r="O104" i="1"/>
  <c r="R104" i="1"/>
  <c r="O105" i="1"/>
  <c r="R105" i="1"/>
  <c r="O106" i="1"/>
  <c r="R106" i="1"/>
  <c r="O107" i="1"/>
  <c r="R107" i="1"/>
  <c r="O108" i="1"/>
  <c r="R108" i="1"/>
  <c r="O109" i="1"/>
  <c r="R109" i="1"/>
  <c r="O110" i="1"/>
  <c r="R110" i="1"/>
  <c r="O111" i="1"/>
  <c r="R111" i="1"/>
  <c r="O112" i="1"/>
  <c r="R112" i="1"/>
  <c r="O113" i="1"/>
  <c r="R113" i="1"/>
  <c r="O114" i="1"/>
  <c r="R114" i="1"/>
  <c r="O115" i="1"/>
  <c r="R115" i="1"/>
  <c r="R116" i="1"/>
  <c r="O117" i="1"/>
  <c r="R117" i="1"/>
  <c r="O118" i="1"/>
  <c r="R118" i="1"/>
  <c r="O119" i="1"/>
  <c r="R119" i="1"/>
  <c r="R120" i="1"/>
  <c r="R121" i="1"/>
  <c r="O266" i="1"/>
  <c r="R266" i="1"/>
  <c r="O267" i="1"/>
  <c r="R267" i="1"/>
  <c r="R268" i="1"/>
  <c r="O269" i="1"/>
  <c r="R269" i="1"/>
  <c r="O270" i="1"/>
  <c r="R270" i="1"/>
  <c r="O271" i="1"/>
  <c r="R271" i="1"/>
  <c r="R272" i="1"/>
  <c r="R304" i="1"/>
  <c r="N254" i="1"/>
  <c r="O254" i="1"/>
  <c r="R254" i="1"/>
  <c r="R256" i="1"/>
  <c r="R257" i="1"/>
  <c r="N227" i="1"/>
  <c r="O227" i="1"/>
  <c r="R227" i="1"/>
  <c r="N228" i="1"/>
  <c r="O228" i="1"/>
  <c r="R228" i="1"/>
  <c r="N229" i="1"/>
  <c r="O229" i="1"/>
  <c r="R229" i="1"/>
  <c r="O231" i="1"/>
  <c r="R231" i="1"/>
  <c r="R232" i="1"/>
  <c r="O217" i="1"/>
  <c r="R217" i="1"/>
  <c r="R62" i="1"/>
  <c r="R29" i="1"/>
  <c r="R30" i="1"/>
  <c r="R31" i="1"/>
  <c r="R32" i="1"/>
  <c r="R33" i="1"/>
  <c r="R34" i="1"/>
  <c r="R35" i="1"/>
  <c r="R36" i="1"/>
  <c r="R37" i="1"/>
  <c r="R38" i="1"/>
  <c r="R39" i="1"/>
  <c r="R40" i="1"/>
  <c r="O29" i="1"/>
  <c r="O30" i="1"/>
  <c r="O31" i="1"/>
  <c r="H8" i="5"/>
  <c r="F30" i="5"/>
  <c r="O218" i="1"/>
  <c r="O5" i="1"/>
  <c r="O155" i="1"/>
  <c r="O6" i="1"/>
  <c r="O101" i="1"/>
  <c r="O7" i="1"/>
  <c r="O200" i="1"/>
  <c r="O9" i="1"/>
  <c r="O166" i="1"/>
  <c r="O10" i="1"/>
  <c r="O230" i="1"/>
  <c r="O11" i="1"/>
  <c r="O178" i="1"/>
  <c r="O12" i="1"/>
  <c r="O246" i="1"/>
  <c r="O13" i="1"/>
  <c r="O285" i="1"/>
  <c r="O14" i="1"/>
  <c r="O255" i="1"/>
  <c r="O15" i="1"/>
  <c r="O263" i="1"/>
  <c r="O16" i="1"/>
  <c r="O279" i="1"/>
  <c r="O18" i="1"/>
  <c r="O240" i="1"/>
  <c r="O19" i="1"/>
  <c r="O120" i="1"/>
  <c r="O8" i="1"/>
  <c r="O272" i="1"/>
  <c r="O17" i="1"/>
  <c r="O20" i="1"/>
  <c r="O291" i="1"/>
  <c r="O21" i="1"/>
  <c r="O302" i="1"/>
  <c r="O22" i="1"/>
  <c r="O297" i="1"/>
  <c r="O23" i="1"/>
  <c r="O24" i="1"/>
  <c r="N63" i="1"/>
  <c r="O6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64" i="1"/>
  <c r="O26" i="1"/>
  <c r="O27" i="1"/>
  <c r="O32" i="1"/>
  <c r="O33" i="1"/>
  <c r="O34" i="1"/>
  <c r="O35" i="1"/>
  <c r="O36" i="1"/>
  <c r="O37" i="1"/>
  <c r="O38" i="1"/>
  <c r="O39" i="1"/>
  <c r="H10" i="5"/>
  <c r="F31" i="5"/>
  <c r="F32" i="5"/>
  <c r="D32" i="5"/>
  <c r="F37" i="5"/>
  <c r="G31" i="5"/>
  <c r="G30" i="5"/>
  <c r="F34" i="5"/>
  <c r="F35" i="5"/>
  <c r="S50" i="1"/>
  <c r="S68" i="1"/>
  <c r="F19" i="5"/>
  <c r="O62" i="1"/>
  <c r="H11" i="5"/>
  <c r="F20" i="5"/>
  <c r="H12" i="5"/>
  <c r="F21" i="5"/>
  <c r="F17" i="5"/>
  <c r="S54" i="1"/>
  <c r="S27" i="1"/>
  <c r="I150" i="1"/>
  <c r="U116" i="1"/>
  <c r="T116" i="1"/>
  <c r="Q204" i="1"/>
  <c r="Q205" i="1"/>
  <c r="Q206" i="1"/>
  <c r="P207" i="1"/>
  <c r="P208" i="1"/>
  <c r="Q209" i="1"/>
  <c r="Q210" i="1"/>
  <c r="P211" i="1"/>
  <c r="Q212" i="1"/>
  <c r="Q214" i="1"/>
  <c r="Q215" i="1"/>
  <c r="Q216" i="1"/>
  <c r="Q203" i="1"/>
  <c r="Q126" i="1"/>
  <c r="P130" i="1"/>
  <c r="P131" i="1"/>
  <c r="Q133" i="1"/>
  <c r="Q134" i="1"/>
  <c r="Q136" i="1"/>
  <c r="Q140" i="1"/>
  <c r="Q141" i="1"/>
  <c r="Q142" i="1"/>
  <c r="Q143" i="1"/>
  <c r="Q144" i="1"/>
  <c r="Q145" i="1"/>
  <c r="P146" i="1"/>
  <c r="Q147" i="1"/>
  <c r="P148" i="1"/>
  <c r="Q149" i="1"/>
  <c r="Q151" i="1"/>
  <c r="P152" i="1"/>
  <c r="P127" i="1"/>
  <c r="Q129" i="1"/>
  <c r="Q132" i="1"/>
  <c r="P69" i="1"/>
  <c r="P70" i="1"/>
  <c r="P72" i="1"/>
  <c r="Q75" i="1"/>
  <c r="P77" i="1"/>
  <c r="Q80" i="1"/>
  <c r="P81" i="1"/>
  <c r="Q82" i="1"/>
  <c r="Q83" i="1"/>
  <c r="P84" i="1"/>
  <c r="P85" i="1"/>
  <c r="Q86" i="1"/>
  <c r="Q87" i="1"/>
  <c r="Q88" i="1"/>
  <c r="P89" i="1"/>
  <c r="Q91" i="1"/>
  <c r="P92" i="1"/>
  <c r="P93" i="1"/>
  <c r="Q94" i="1"/>
  <c r="Q95" i="1"/>
  <c r="Q96" i="1"/>
  <c r="Q99" i="1"/>
  <c r="Q100" i="1"/>
  <c r="Q68" i="1"/>
  <c r="P74" i="1"/>
  <c r="Q76" i="1"/>
  <c r="P105" i="1"/>
  <c r="P107" i="1"/>
  <c r="Q108" i="1"/>
  <c r="P109" i="1"/>
  <c r="Q110" i="1"/>
  <c r="Q111" i="1"/>
  <c r="Q112" i="1"/>
  <c r="Q113" i="1"/>
  <c r="Q114" i="1"/>
  <c r="Q115" i="1"/>
  <c r="P117" i="1"/>
  <c r="Q118" i="1"/>
  <c r="Q119" i="1"/>
  <c r="Q182" i="1"/>
  <c r="P183" i="1"/>
  <c r="Q185" i="1"/>
  <c r="P186" i="1"/>
  <c r="P187" i="1"/>
  <c r="Q192" i="1"/>
  <c r="P193" i="1"/>
  <c r="P194" i="1"/>
  <c r="P195" i="1"/>
  <c r="Q196" i="1"/>
  <c r="P181" i="1"/>
  <c r="Q184" i="1"/>
  <c r="Q189" i="1"/>
  <c r="P159" i="1"/>
  <c r="Q162" i="1"/>
  <c r="Q163" i="1"/>
  <c r="P164" i="1"/>
  <c r="Q165" i="1"/>
  <c r="Q158" i="1"/>
  <c r="P222" i="1"/>
  <c r="Q224" i="1"/>
  <c r="P225" i="1"/>
  <c r="Q226" i="1"/>
  <c r="P221" i="1"/>
  <c r="P170" i="1"/>
  <c r="Q172" i="1"/>
  <c r="Q174" i="1"/>
  <c r="Q175" i="1"/>
  <c r="P176" i="1"/>
  <c r="Q169" i="1"/>
  <c r="P244" i="1"/>
  <c r="Q243" i="1"/>
  <c r="Q283" i="1"/>
  <c r="P282" i="1"/>
  <c r="Q250" i="1"/>
  <c r="P252" i="1"/>
  <c r="Q249" i="1"/>
  <c r="Q259" i="1"/>
  <c r="P261" i="1"/>
  <c r="P258" i="1"/>
  <c r="P266" i="1"/>
  <c r="P267" i="1"/>
  <c r="P269" i="1"/>
  <c r="P270" i="1"/>
  <c r="Q271" i="1"/>
  <c r="Q277" i="1"/>
  <c r="Q278" i="1"/>
  <c r="P275" i="1"/>
  <c r="Q235" i="1"/>
  <c r="Q236" i="1"/>
  <c r="P237" i="1"/>
  <c r="Q239" i="1"/>
  <c r="Q233" i="1"/>
  <c r="Q289" i="1"/>
  <c r="P290" i="1"/>
  <c r="Q300" i="1"/>
  <c r="Q296" i="1"/>
  <c r="Q47" i="1"/>
  <c r="Q48" i="1"/>
  <c r="Q49" i="1"/>
  <c r="P51" i="1"/>
  <c r="Q52" i="1"/>
  <c r="P53" i="1"/>
  <c r="Q54" i="1"/>
  <c r="P55" i="1"/>
  <c r="Q290" i="1"/>
  <c r="Q253" i="1"/>
  <c r="Q213" i="1"/>
  <c r="Q195" i="1"/>
  <c r="Q183" i="1"/>
  <c r="Q173" i="1"/>
  <c r="Q152" i="1"/>
  <c r="Q148" i="1"/>
  <c r="Q146" i="1"/>
  <c r="Q135" i="1"/>
  <c r="Q127" i="1"/>
  <c r="Q124" i="1"/>
  <c r="Q116" i="1"/>
  <c r="Q109" i="1"/>
  <c r="Q107" i="1"/>
  <c r="Q92" i="1"/>
  <c r="Q90" i="1"/>
  <c r="Q84" i="1"/>
  <c r="Q81" i="1"/>
  <c r="Q77" i="1"/>
  <c r="Q73" i="1"/>
  <c r="Q71" i="1"/>
  <c r="P62" i="1"/>
  <c r="Q61" i="1"/>
  <c r="Q60" i="1"/>
  <c r="Q59" i="1"/>
  <c r="Q57" i="1"/>
  <c r="Q56" i="1"/>
  <c r="Q44" i="1"/>
  <c r="P296" i="1"/>
  <c r="P289" i="1"/>
  <c r="P278" i="1"/>
  <c r="P253" i="1"/>
  <c r="P243" i="1"/>
  <c r="P214" i="1"/>
  <c r="P213" i="1"/>
  <c r="P210" i="1"/>
  <c r="P203" i="1"/>
  <c r="P184" i="1"/>
  <c r="P173" i="1"/>
  <c r="P165" i="1"/>
  <c r="P158" i="1"/>
  <c r="P136" i="1"/>
  <c r="P135" i="1"/>
  <c r="P126" i="1"/>
  <c r="P124" i="1"/>
  <c r="P106" i="1"/>
  <c r="P95" i="1"/>
  <c r="P90" i="1"/>
  <c r="P73" i="1"/>
  <c r="P71" i="1"/>
  <c r="P56" i="1"/>
  <c r="P52" i="1"/>
  <c r="P44" i="1"/>
  <c r="T180" i="1"/>
  <c r="N120" i="1"/>
  <c r="N122" i="1"/>
  <c r="O122" i="1"/>
  <c r="N137" i="1"/>
  <c r="N155" i="1"/>
  <c r="N167" i="1"/>
  <c r="O167" i="1"/>
  <c r="N168" i="1"/>
  <c r="O168" i="1"/>
  <c r="N179" i="1"/>
  <c r="O179" i="1"/>
  <c r="N180" i="1"/>
  <c r="O180" i="1"/>
  <c r="N188" i="1"/>
  <c r="N191" i="1"/>
  <c r="N201" i="1"/>
  <c r="O201" i="1"/>
  <c r="N202" i="1"/>
  <c r="O202" i="1"/>
  <c r="N218" i="1"/>
  <c r="N5" i="1"/>
  <c r="N217" i="1"/>
  <c r="Q217" i="1"/>
  <c r="N230" i="1"/>
  <c r="N231" i="1"/>
  <c r="N241" i="1"/>
  <c r="O241" i="1"/>
  <c r="N242" i="1"/>
  <c r="O242" i="1"/>
  <c r="N246" i="1"/>
  <c r="N13" i="1"/>
  <c r="Q254" i="1"/>
  <c r="N255" i="1"/>
  <c r="N264" i="1"/>
  <c r="O264" i="1"/>
  <c r="N265" i="1"/>
  <c r="O265" i="1"/>
  <c r="N268" i="1"/>
  <c r="N272" i="1"/>
  <c r="N17" i="1"/>
  <c r="N273" i="1"/>
  <c r="O273" i="1"/>
  <c r="N274" i="1"/>
  <c r="O274" i="1"/>
  <c r="N279" i="1"/>
  <c r="N280" i="1"/>
  <c r="O280" i="1"/>
  <c r="N291" i="1"/>
  <c r="N292" i="1"/>
  <c r="O292" i="1"/>
  <c r="N293" i="1"/>
  <c r="O293" i="1"/>
  <c r="N297" i="1"/>
  <c r="N298" i="1"/>
  <c r="O298" i="1"/>
  <c r="N299" i="1"/>
  <c r="O299" i="1"/>
  <c r="N302" i="1"/>
  <c r="N22" i="1"/>
  <c r="N21" i="1"/>
  <c r="N23" i="1"/>
  <c r="N24" i="1"/>
  <c r="N58" i="1"/>
  <c r="N30" i="1"/>
  <c r="L29" i="1"/>
  <c r="N29" i="1"/>
  <c r="N31" i="1"/>
  <c r="N32" i="1"/>
  <c r="N33" i="1"/>
  <c r="N35" i="1"/>
  <c r="N36" i="1"/>
  <c r="N37" i="1"/>
  <c r="N8" i="1"/>
  <c r="N11" i="1"/>
  <c r="N15" i="1"/>
  <c r="N18" i="1"/>
  <c r="H203" i="1"/>
  <c r="E203" i="1"/>
  <c r="E204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H124" i="1"/>
  <c r="I124" i="1"/>
  <c r="H127" i="1"/>
  <c r="I127" i="1"/>
  <c r="H129" i="1"/>
  <c r="I129" i="1"/>
  <c r="H132" i="1"/>
  <c r="I132" i="1"/>
  <c r="H135" i="1"/>
  <c r="E137" i="1"/>
  <c r="H137" i="1"/>
  <c r="I137" i="1"/>
  <c r="I139" i="1"/>
  <c r="I151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H68" i="1"/>
  <c r="I68" i="1"/>
  <c r="H71" i="1"/>
  <c r="I71" i="1"/>
  <c r="H73" i="1"/>
  <c r="I73" i="1"/>
  <c r="H74" i="1"/>
  <c r="I74" i="1"/>
  <c r="H76" i="1"/>
  <c r="I76" i="1"/>
  <c r="E68" i="1"/>
  <c r="E69" i="1"/>
  <c r="E70" i="1"/>
  <c r="E71" i="1"/>
  <c r="E72" i="1"/>
  <c r="E73" i="1"/>
  <c r="E74" i="1"/>
  <c r="E75" i="1"/>
  <c r="F75" i="1"/>
  <c r="E76" i="1"/>
  <c r="E77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I104" i="1"/>
  <c r="I120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H181" i="1"/>
  <c r="I181" i="1"/>
  <c r="H184" i="1"/>
  <c r="I184" i="1"/>
  <c r="H189" i="1"/>
  <c r="E181" i="1"/>
  <c r="E182" i="1"/>
  <c r="E183" i="1"/>
  <c r="E184" i="1"/>
  <c r="E185" i="1"/>
  <c r="E186" i="1"/>
  <c r="E187" i="1"/>
  <c r="E188" i="1"/>
  <c r="E189" i="1"/>
  <c r="E190" i="1"/>
  <c r="E192" i="1"/>
  <c r="E193" i="1"/>
  <c r="E194" i="1"/>
  <c r="G194" i="1"/>
  <c r="E195" i="1"/>
  <c r="E196" i="1"/>
  <c r="E197" i="1"/>
  <c r="E198" i="1"/>
  <c r="H198" i="1"/>
  <c r="H34" i="1"/>
  <c r="E199" i="1"/>
  <c r="H158" i="1"/>
  <c r="I158" i="1"/>
  <c r="I166" i="1"/>
  <c r="E158" i="1"/>
  <c r="E159" i="1"/>
  <c r="E161" i="1"/>
  <c r="E162" i="1"/>
  <c r="F162" i="1"/>
  <c r="E163" i="1"/>
  <c r="E164" i="1"/>
  <c r="E165" i="1"/>
  <c r="H221" i="1"/>
  <c r="I221" i="1"/>
  <c r="I230" i="1"/>
  <c r="E221" i="1"/>
  <c r="E222" i="1"/>
  <c r="E224" i="1"/>
  <c r="E225" i="1"/>
  <c r="E226" i="1"/>
  <c r="E227" i="1"/>
  <c r="H227" i="1"/>
  <c r="E228" i="1"/>
  <c r="E229" i="1"/>
  <c r="H169" i="1"/>
  <c r="I169" i="1"/>
  <c r="E169" i="1"/>
  <c r="E170" i="1"/>
  <c r="E172" i="1"/>
  <c r="F172" i="1"/>
  <c r="E173" i="1"/>
  <c r="E174" i="1"/>
  <c r="E175" i="1"/>
  <c r="E176" i="1"/>
  <c r="E177" i="1"/>
  <c r="H243" i="1"/>
  <c r="E243" i="1"/>
  <c r="E244" i="1"/>
  <c r="E245" i="1"/>
  <c r="E246" i="1"/>
  <c r="E13" i="1"/>
  <c r="H282" i="1"/>
  <c r="I282" i="1"/>
  <c r="I285" i="1"/>
  <c r="E282" i="1"/>
  <c r="E283" i="1"/>
  <c r="E284" i="1"/>
  <c r="E285" i="1"/>
  <c r="E14" i="1"/>
  <c r="H249" i="1"/>
  <c r="E249" i="1"/>
  <c r="E250" i="1"/>
  <c r="E252" i="1"/>
  <c r="E253" i="1"/>
  <c r="E254" i="1"/>
  <c r="E255" i="1"/>
  <c r="E15" i="1"/>
  <c r="H258" i="1"/>
  <c r="I258" i="1"/>
  <c r="I263" i="1"/>
  <c r="E258" i="1"/>
  <c r="E259" i="1"/>
  <c r="E261" i="1"/>
  <c r="E262" i="1"/>
  <c r="E263" i="1"/>
  <c r="H262" i="1"/>
  <c r="H266" i="1"/>
  <c r="E266" i="1"/>
  <c r="E267" i="1"/>
  <c r="E269" i="1"/>
  <c r="E270" i="1"/>
  <c r="E271" i="1"/>
  <c r="H275" i="1"/>
  <c r="I275" i="1"/>
  <c r="I279" i="1"/>
  <c r="E275" i="1"/>
  <c r="E277" i="1"/>
  <c r="E278" i="1"/>
  <c r="H233" i="1"/>
  <c r="E238" i="1"/>
  <c r="H238" i="1"/>
  <c r="E233" i="1"/>
  <c r="E235" i="1"/>
  <c r="E236" i="1"/>
  <c r="E237" i="1"/>
  <c r="E239" i="1"/>
  <c r="E288" i="1"/>
  <c r="E289" i="1"/>
  <c r="E290" i="1"/>
  <c r="E291" i="1"/>
  <c r="E21" i="1"/>
  <c r="E300" i="1"/>
  <c r="E301" i="1"/>
  <c r="E302" i="1"/>
  <c r="E22" i="1"/>
  <c r="E294" i="1"/>
  <c r="E295" i="1"/>
  <c r="E296" i="1"/>
  <c r="E297" i="1"/>
  <c r="E63" i="1"/>
  <c r="E47" i="1"/>
  <c r="I47" i="1"/>
  <c r="K47" i="1"/>
  <c r="E48" i="1"/>
  <c r="E49" i="1"/>
  <c r="E52" i="1"/>
  <c r="E54" i="1"/>
  <c r="E55" i="1"/>
  <c r="E56" i="1"/>
  <c r="E45" i="1"/>
  <c r="I45" i="1"/>
  <c r="E46" i="1"/>
  <c r="E53" i="1"/>
  <c r="I53" i="1"/>
  <c r="E31" i="1"/>
  <c r="E38" i="1"/>
  <c r="B29" i="1"/>
  <c r="B30" i="1"/>
  <c r="B31" i="1"/>
  <c r="D8" i="5"/>
  <c r="B33" i="1"/>
  <c r="B34" i="1"/>
  <c r="B35" i="1"/>
  <c r="B36" i="1"/>
  <c r="B218" i="1"/>
  <c r="B5" i="1"/>
  <c r="B6" i="1"/>
  <c r="B101" i="1"/>
  <c r="B7" i="1"/>
  <c r="B8" i="1"/>
  <c r="B200" i="1"/>
  <c r="B9" i="1"/>
  <c r="B166" i="1"/>
  <c r="B10" i="1"/>
  <c r="B230" i="1"/>
  <c r="B11" i="1"/>
  <c r="B178" i="1"/>
  <c r="B12" i="1"/>
  <c r="B246" i="1"/>
  <c r="B13" i="1"/>
  <c r="G13" i="1"/>
  <c r="B285" i="1"/>
  <c r="B14" i="1"/>
  <c r="B255" i="1"/>
  <c r="B263" i="1"/>
  <c r="B272" i="1"/>
  <c r="B17" i="1"/>
  <c r="B279" i="1"/>
  <c r="B18" i="1"/>
  <c r="B240" i="1"/>
  <c r="B19" i="1"/>
  <c r="B291" i="1"/>
  <c r="B21" i="1"/>
  <c r="B302" i="1"/>
  <c r="B22" i="1"/>
  <c r="B297" i="1"/>
  <c r="B23" i="1"/>
  <c r="B58" i="1"/>
  <c r="B32" i="1"/>
  <c r="B38" i="1"/>
  <c r="L30" i="1"/>
  <c r="L31" i="1"/>
  <c r="F8" i="5"/>
  <c r="G17" i="5"/>
  <c r="L33" i="1"/>
  <c r="L34" i="1"/>
  <c r="L218" i="1"/>
  <c r="L5" i="1"/>
  <c r="J138" i="1"/>
  <c r="K138" i="1"/>
  <c r="L138" i="1"/>
  <c r="K139" i="1"/>
  <c r="L139" i="1"/>
  <c r="L101" i="1"/>
  <c r="L7" i="1"/>
  <c r="L120" i="1"/>
  <c r="L200" i="1"/>
  <c r="L9" i="1"/>
  <c r="L166" i="1"/>
  <c r="L10" i="1"/>
  <c r="L230" i="1"/>
  <c r="L11" i="1"/>
  <c r="L178" i="1"/>
  <c r="L12" i="1"/>
  <c r="L246" i="1"/>
  <c r="L13" i="1"/>
  <c r="L285" i="1"/>
  <c r="L14" i="1"/>
  <c r="L255" i="1"/>
  <c r="L15" i="1"/>
  <c r="L263" i="1"/>
  <c r="L16" i="1"/>
  <c r="L272" i="1"/>
  <c r="L17" i="1"/>
  <c r="L279" i="1"/>
  <c r="L18" i="1"/>
  <c r="L240" i="1"/>
  <c r="L19" i="1"/>
  <c r="L291" i="1"/>
  <c r="L302" i="1"/>
  <c r="L22" i="1"/>
  <c r="L297" i="1"/>
  <c r="L58" i="1"/>
  <c r="L37" i="1"/>
  <c r="L64" i="1"/>
  <c r="L26" i="1"/>
  <c r="L35" i="1"/>
  <c r="L36" i="1"/>
  <c r="L38" i="1"/>
  <c r="M203" i="1"/>
  <c r="M218" i="1"/>
  <c r="M5" i="1"/>
  <c r="M124" i="1"/>
  <c r="M125" i="1"/>
  <c r="M126" i="1"/>
  <c r="M127" i="1"/>
  <c r="M129" i="1"/>
  <c r="M132" i="1"/>
  <c r="M135" i="1"/>
  <c r="M137" i="1"/>
  <c r="M139" i="1"/>
  <c r="M151" i="1"/>
  <c r="M68" i="1"/>
  <c r="M69" i="1"/>
  <c r="M70" i="1"/>
  <c r="M71" i="1"/>
  <c r="M73" i="1"/>
  <c r="M74" i="1"/>
  <c r="M76" i="1"/>
  <c r="M90" i="1"/>
  <c r="M91" i="1"/>
  <c r="M92" i="1"/>
  <c r="M93" i="1"/>
  <c r="M94" i="1"/>
  <c r="M95" i="1"/>
  <c r="M96" i="1"/>
  <c r="M99" i="1"/>
  <c r="M100" i="1"/>
  <c r="M104" i="1"/>
  <c r="M31" i="1"/>
  <c r="M181" i="1"/>
  <c r="M184" i="1"/>
  <c r="M189" i="1"/>
  <c r="M200" i="1"/>
  <c r="M9" i="1"/>
  <c r="M158" i="1"/>
  <c r="M166" i="1"/>
  <c r="M10" i="1"/>
  <c r="M221" i="1"/>
  <c r="M230" i="1"/>
  <c r="M11" i="1"/>
  <c r="M169" i="1"/>
  <c r="M178" i="1"/>
  <c r="M12" i="1"/>
  <c r="M243" i="1"/>
  <c r="M246" i="1"/>
  <c r="M13" i="1"/>
  <c r="M282" i="1"/>
  <c r="M285" i="1"/>
  <c r="M14" i="1"/>
  <c r="M249" i="1"/>
  <c r="M255" i="1"/>
  <c r="M15" i="1"/>
  <c r="M258" i="1"/>
  <c r="M263" i="1"/>
  <c r="M16" i="1"/>
  <c r="M266" i="1"/>
  <c r="M272" i="1"/>
  <c r="M17" i="1"/>
  <c r="M275" i="1"/>
  <c r="M279" i="1"/>
  <c r="M18" i="1"/>
  <c r="M233" i="1"/>
  <c r="M240" i="1"/>
  <c r="M19" i="1"/>
  <c r="M291" i="1"/>
  <c r="M21" i="1"/>
  <c r="M302" i="1"/>
  <c r="M22" i="1"/>
  <c r="M297" i="1"/>
  <c r="M23" i="1"/>
  <c r="M24" i="1"/>
  <c r="M58" i="1"/>
  <c r="M29" i="1"/>
  <c r="M33" i="1"/>
  <c r="M34" i="1"/>
  <c r="M35" i="1"/>
  <c r="M38" i="1"/>
  <c r="F11" i="5"/>
  <c r="G20" i="5"/>
  <c r="H31" i="1"/>
  <c r="H206" i="1"/>
  <c r="H218" i="1"/>
  <c r="H5" i="1"/>
  <c r="H128" i="1"/>
  <c r="H150" i="1"/>
  <c r="H153" i="1"/>
  <c r="H97" i="1"/>
  <c r="H98" i="1"/>
  <c r="H101" i="1"/>
  <c r="H190" i="1"/>
  <c r="H191" i="1"/>
  <c r="H197" i="1"/>
  <c r="H199" i="1"/>
  <c r="H161" i="1"/>
  <c r="H166" i="1"/>
  <c r="H10" i="1"/>
  <c r="H230" i="1"/>
  <c r="H11" i="1"/>
  <c r="H177" i="1"/>
  <c r="H178" i="1"/>
  <c r="H12" i="1"/>
  <c r="H245" i="1"/>
  <c r="H284" i="1"/>
  <c r="H285" i="1"/>
  <c r="H14" i="1"/>
  <c r="H263" i="1"/>
  <c r="H267" i="1"/>
  <c r="H35" i="1"/>
  <c r="H268" i="1"/>
  <c r="H279" i="1"/>
  <c r="H18" i="1"/>
  <c r="H120" i="1"/>
  <c r="H8" i="1"/>
  <c r="H291" i="1"/>
  <c r="H21" i="1"/>
  <c r="H302" i="1"/>
  <c r="H297" i="1"/>
  <c r="H23" i="1"/>
  <c r="H63" i="1"/>
  <c r="H38" i="1"/>
  <c r="J38" i="1"/>
  <c r="H46" i="1"/>
  <c r="H48" i="1"/>
  <c r="H50" i="1"/>
  <c r="H51" i="1"/>
  <c r="H52" i="1"/>
  <c r="H53" i="1"/>
  <c r="H55" i="1"/>
  <c r="J55" i="1"/>
  <c r="H33" i="1"/>
  <c r="H36" i="1"/>
  <c r="I291" i="1"/>
  <c r="I21" i="1"/>
  <c r="I302" i="1"/>
  <c r="I22" i="1"/>
  <c r="I297" i="1"/>
  <c r="I23" i="1"/>
  <c r="I24" i="1"/>
  <c r="I46" i="1"/>
  <c r="I48" i="1"/>
  <c r="I33" i="1"/>
  <c r="I50" i="1"/>
  <c r="I51" i="1"/>
  <c r="K51" i="1"/>
  <c r="I52" i="1"/>
  <c r="K52" i="1"/>
  <c r="I55" i="1"/>
  <c r="I56" i="1"/>
  <c r="I31" i="1"/>
  <c r="K31" i="1"/>
  <c r="I34" i="1"/>
  <c r="I35" i="1"/>
  <c r="I36" i="1"/>
  <c r="I38" i="1"/>
  <c r="K38" i="1"/>
  <c r="E18" i="5"/>
  <c r="G32" i="5"/>
  <c r="D18" i="5"/>
  <c r="K34" i="1"/>
  <c r="J191" i="1"/>
  <c r="J154" i="1"/>
  <c r="K152" i="1"/>
  <c r="J152" i="1"/>
  <c r="E62" i="1"/>
  <c r="J158" i="1"/>
  <c r="J282" i="1"/>
  <c r="D101" i="1"/>
  <c r="D7" i="1"/>
  <c r="K63" i="1"/>
  <c r="F53" i="1"/>
  <c r="G55" i="1"/>
  <c r="J53" i="1"/>
  <c r="K56" i="1"/>
  <c r="F221" i="1"/>
  <c r="F73" i="1"/>
  <c r="K50" i="1"/>
  <c r="G152" i="1"/>
  <c r="J252" i="1"/>
  <c r="J253" i="1"/>
  <c r="J77" i="1"/>
  <c r="F161" i="1"/>
  <c r="J163" i="1"/>
  <c r="J164" i="1"/>
  <c r="F69" i="1"/>
  <c r="J72" i="1"/>
  <c r="J75" i="1"/>
  <c r="G76" i="1"/>
  <c r="F79" i="1"/>
  <c r="J81" i="1"/>
  <c r="J82" i="1"/>
  <c r="J85" i="1"/>
  <c r="J86" i="1"/>
  <c r="J88" i="1"/>
  <c r="J89" i="1"/>
  <c r="G290" i="1"/>
  <c r="J283" i="1"/>
  <c r="J277" i="1"/>
  <c r="J278" i="1"/>
  <c r="J269" i="1"/>
  <c r="J270" i="1"/>
  <c r="G261" i="1"/>
  <c r="G254" i="1"/>
  <c r="J254" i="1"/>
  <c r="J244" i="1"/>
  <c r="F245" i="1"/>
  <c r="G233" i="1"/>
  <c r="J235" i="1"/>
  <c r="J224" i="1"/>
  <c r="J225" i="1"/>
  <c r="G229" i="1"/>
  <c r="J229" i="1"/>
  <c r="J207" i="1"/>
  <c r="F211" i="1"/>
  <c r="F215" i="1"/>
  <c r="J187" i="1"/>
  <c r="G192" i="1"/>
  <c r="J193" i="1"/>
  <c r="J194" i="1"/>
  <c r="J195" i="1"/>
  <c r="G196" i="1"/>
  <c r="G169" i="1"/>
  <c r="J173" i="1"/>
  <c r="J175" i="1"/>
  <c r="J176" i="1"/>
  <c r="G124" i="1"/>
  <c r="F128" i="1"/>
  <c r="J130" i="1"/>
  <c r="J131" i="1"/>
  <c r="F132" i="1"/>
  <c r="J134" i="1"/>
  <c r="J142" i="1"/>
  <c r="J143" i="1"/>
  <c r="J144" i="1"/>
  <c r="J147" i="1"/>
  <c r="J148" i="1"/>
  <c r="J151" i="1"/>
  <c r="J104" i="1"/>
  <c r="J105" i="1"/>
  <c r="J106" i="1"/>
  <c r="J108" i="1"/>
  <c r="F112" i="1"/>
  <c r="C178" i="1"/>
  <c r="C12" i="1"/>
  <c r="C285" i="1"/>
  <c r="C14" i="1"/>
  <c r="C101" i="1"/>
  <c r="C7" i="1"/>
  <c r="C218" i="1"/>
  <c r="C5" i="1"/>
  <c r="C155" i="1"/>
  <c r="C6" i="1"/>
  <c r="C8" i="1"/>
  <c r="C200" i="1"/>
  <c r="C9" i="1"/>
  <c r="C166" i="1"/>
  <c r="C10" i="1"/>
  <c r="C230" i="1"/>
  <c r="C11" i="1"/>
  <c r="C246" i="1"/>
  <c r="C13" i="1"/>
  <c r="C255" i="1"/>
  <c r="C15" i="1"/>
  <c r="C263" i="1"/>
  <c r="C16" i="1"/>
  <c r="C272" i="1"/>
  <c r="C17" i="1"/>
  <c r="C279" i="1"/>
  <c r="C18" i="1"/>
  <c r="C240" i="1"/>
  <c r="C19" i="1"/>
  <c r="D218" i="1"/>
  <c r="D155" i="1"/>
  <c r="D6" i="1"/>
  <c r="D8" i="1"/>
  <c r="D200" i="1"/>
  <c r="D9" i="1"/>
  <c r="D166" i="1"/>
  <c r="D10" i="1"/>
  <c r="D230" i="1"/>
  <c r="D11" i="1"/>
  <c r="D178" i="1"/>
  <c r="D246" i="1"/>
  <c r="D13" i="1"/>
  <c r="F13" i="1"/>
  <c r="D285" i="1"/>
  <c r="D255" i="1"/>
  <c r="D15" i="1"/>
  <c r="D263" i="1"/>
  <c r="D272" i="1"/>
  <c r="D17" i="1"/>
  <c r="D279" i="1"/>
  <c r="D240" i="1"/>
  <c r="D19" i="1"/>
  <c r="K151" i="1"/>
  <c r="C48" i="1"/>
  <c r="C33" i="1"/>
  <c r="C46" i="1"/>
  <c r="C45" i="1"/>
  <c r="C53" i="1"/>
  <c r="C54" i="1"/>
  <c r="C44" i="1"/>
  <c r="C47" i="1"/>
  <c r="C49" i="1"/>
  <c r="C50" i="1"/>
  <c r="C51" i="1"/>
  <c r="C52" i="1"/>
  <c r="C55" i="1"/>
  <c r="C56" i="1"/>
  <c r="D44" i="1"/>
  <c r="C63" i="1"/>
  <c r="C291" i="1"/>
  <c r="C302" i="1"/>
  <c r="C297" i="1"/>
  <c r="C32" i="1"/>
  <c r="D291" i="1"/>
  <c r="F291" i="1"/>
  <c r="D297" i="1"/>
  <c r="D302" i="1"/>
  <c r="G63" i="1"/>
  <c r="J50" i="1"/>
  <c r="J51" i="1"/>
  <c r="D33" i="1"/>
  <c r="D29" i="1"/>
  <c r="D30" i="1"/>
  <c r="D31" i="1"/>
  <c r="F31" i="1"/>
  <c r="D34" i="1"/>
  <c r="D35" i="1"/>
  <c r="E35" i="1"/>
  <c r="F35" i="1"/>
  <c r="D36" i="1"/>
  <c r="D38" i="1"/>
  <c r="C24" i="1"/>
  <c r="D24" i="1"/>
  <c r="F45" i="1"/>
  <c r="F46" i="1"/>
  <c r="F48" i="1"/>
  <c r="F54" i="1"/>
  <c r="F63" i="1"/>
  <c r="F50" i="1"/>
  <c r="F51" i="1"/>
  <c r="F52" i="1"/>
  <c r="F56" i="1"/>
  <c r="G46" i="1"/>
  <c r="G48" i="1"/>
  <c r="G50" i="1"/>
  <c r="G51" i="1"/>
  <c r="G53" i="1"/>
  <c r="G54" i="1"/>
  <c r="H299" i="1"/>
  <c r="H298" i="1"/>
  <c r="H293" i="1"/>
  <c r="H292" i="1"/>
  <c r="H280" i="1"/>
  <c r="H274" i="1"/>
  <c r="H273" i="1"/>
  <c r="H265" i="1"/>
  <c r="H264" i="1"/>
  <c r="H254" i="1"/>
  <c r="H242" i="1"/>
  <c r="H241" i="1"/>
  <c r="H231" i="1"/>
  <c r="H229" i="1"/>
  <c r="H228" i="1"/>
  <c r="H217" i="1"/>
  <c r="H202" i="1"/>
  <c r="H201" i="1"/>
  <c r="H180" i="1"/>
  <c r="H179" i="1"/>
  <c r="H168" i="1"/>
  <c r="H167" i="1"/>
  <c r="H122" i="1"/>
  <c r="F301" i="1"/>
  <c r="F296" i="1"/>
  <c r="F294" i="1"/>
  <c r="F290" i="1"/>
  <c r="F289" i="1"/>
  <c r="F288" i="1"/>
  <c r="F283" i="1"/>
  <c r="F282" i="1"/>
  <c r="F277" i="1"/>
  <c r="F275" i="1"/>
  <c r="F269" i="1"/>
  <c r="F266" i="1"/>
  <c r="F262" i="1"/>
  <c r="F259" i="1"/>
  <c r="F258" i="1"/>
  <c r="F254" i="1"/>
  <c r="F252" i="1"/>
  <c r="F250" i="1"/>
  <c r="F249" i="1"/>
  <c r="F244" i="1"/>
  <c r="F243" i="1"/>
  <c r="F239" i="1"/>
  <c r="F235" i="1"/>
  <c r="F229" i="1"/>
  <c r="F228" i="1"/>
  <c r="F224" i="1"/>
  <c r="F222" i="1"/>
  <c r="F217" i="1"/>
  <c r="F214" i="1"/>
  <c r="F213" i="1"/>
  <c r="F210" i="1"/>
  <c r="F209" i="1"/>
  <c r="F206" i="1"/>
  <c r="F204" i="1"/>
  <c r="F199" i="1"/>
  <c r="F197" i="1"/>
  <c r="F195" i="1"/>
  <c r="F194" i="1"/>
  <c r="F193" i="1"/>
  <c r="F190" i="1"/>
  <c r="F189" i="1"/>
  <c r="F186" i="1"/>
  <c r="F187" i="1"/>
  <c r="F184" i="1"/>
  <c r="F183" i="1"/>
  <c r="F177" i="1"/>
  <c r="F176" i="1"/>
  <c r="F175" i="1"/>
  <c r="F173" i="1"/>
  <c r="F170" i="1"/>
  <c r="F163" i="1"/>
  <c r="F158" i="1"/>
  <c r="F153" i="1"/>
  <c r="F152" i="1"/>
  <c r="F151" i="1"/>
  <c r="F148" i="1"/>
  <c r="F147" i="1"/>
  <c r="F144" i="1"/>
  <c r="F143" i="1"/>
  <c r="F140" i="1"/>
  <c r="F139" i="1"/>
  <c r="F137" i="1"/>
  <c r="F135" i="1"/>
  <c r="F134" i="1"/>
  <c r="F131" i="1"/>
  <c r="F130" i="1"/>
  <c r="F129" i="1"/>
  <c r="F126" i="1"/>
  <c r="F125" i="1"/>
  <c r="F118" i="1"/>
  <c r="F106" i="1"/>
  <c r="F105" i="1"/>
  <c r="F114" i="1"/>
  <c r="F117" i="1"/>
  <c r="F113" i="1"/>
  <c r="F110" i="1"/>
  <c r="F108" i="1"/>
  <c r="F109" i="1"/>
  <c r="F99" i="1"/>
  <c r="F98" i="1"/>
  <c r="F97" i="1"/>
  <c r="F89" i="1"/>
  <c r="F87" i="1"/>
  <c r="F85" i="1"/>
  <c r="F83" i="1"/>
  <c r="F81" i="1"/>
  <c r="F94" i="1"/>
  <c r="F93" i="1"/>
  <c r="F80" i="1"/>
  <c r="F77" i="1"/>
  <c r="F74" i="1"/>
  <c r="F72" i="1"/>
  <c r="F68" i="1"/>
  <c r="F38" i="1"/>
  <c r="C62" i="1"/>
  <c r="C38" i="1"/>
  <c r="C34" i="1"/>
  <c r="C35" i="1"/>
  <c r="C36" i="1"/>
  <c r="C29" i="1"/>
  <c r="C30" i="1"/>
  <c r="C31" i="1"/>
  <c r="G301" i="1"/>
  <c r="G300" i="1"/>
  <c r="G296" i="1"/>
  <c r="G294" i="1"/>
  <c r="G288" i="1"/>
  <c r="G285" i="1"/>
  <c r="G283" i="1"/>
  <c r="G282" i="1"/>
  <c r="G278" i="1"/>
  <c r="G277" i="1"/>
  <c r="G275" i="1"/>
  <c r="G270" i="1"/>
  <c r="G269" i="1"/>
  <c r="G259" i="1"/>
  <c r="G258" i="1"/>
  <c r="G252" i="1"/>
  <c r="G250" i="1"/>
  <c r="G249" i="1"/>
  <c r="G245" i="1"/>
  <c r="J245" i="1"/>
  <c r="G244" i="1"/>
  <c r="G243" i="1"/>
  <c r="G237" i="1"/>
  <c r="G239" i="1"/>
  <c r="G235" i="1"/>
  <c r="G228" i="1"/>
  <c r="J228" i="1"/>
  <c r="G224" i="1"/>
  <c r="G222" i="1"/>
  <c r="G217" i="1"/>
  <c r="G216" i="1"/>
  <c r="G214" i="1"/>
  <c r="G207" i="1"/>
  <c r="G213" i="1"/>
  <c r="G210" i="1"/>
  <c r="G209" i="1"/>
  <c r="G206" i="1"/>
  <c r="J206" i="1"/>
  <c r="G204" i="1"/>
  <c r="G199" i="1"/>
  <c r="J199" i="1"/>
  <c r="G197" i="1"/>
  <c r="G195" i="1"/>
  <c r="G193" i="1"/>
  <c r="G190" i="1"/>
  <c r="J190" i="1"/>
  <c r="G185" i="1"/>
  <c r="G187" i="1"/>
  <c r="G184" i="1"/>
  <c r="G183" i="1"/>
  <c r="G181" i="1"/>
  <c r="G177" i="1"/>
  <c r="J177" i="1"/>
  <c r="G176" i="1"/>
  <c r="G175" i="1"/>
  <c r="G173" i="1"/>
  <c r="G170" i="1"/>
  <c r="G165" i="1"/>
  <c r="G163" i="1"/>
  <c r="G159" i="1"/>
  <c r="G158" i="1"/>
  <c r="G153" i="1"/>
  <c r="J153" i="1"/>
  <c r="G151" i="1"/>
  <c r="G148" i="1"/>
  <c r="G147" i="1"/>
  <c r="G144" i="1"/>
  <c r="G143" i="1"/>
  <c r="G142" i="1"/>
  <c r="G140" i="1"/>
  <c r="G139" i="1"/>
  <c r="G135" i="1"/>
  <c r="G134" i="1"/>
  <c r="G131" i="1"/>
  <c r="G130" i="1"/>
  <c r="G129" i="1"/>
  <c r="G128" i="1"/>
  <c r="J128" i="1"/>
  <c r="G126" i="1"/>
  <c r="G125" i="1"/>
  <c r="G118" i="1"/>
  <c r="G106" i="1"/>
  <c r="G105" i="1"/>
  <c r="G114" i="1"/>
  <c r="G117" i="1"/>
  <c r="G113" i="1"/>
  <c r="G110" i="1"/>
  <c r="G109" i="1"/>
  <c r="G99" i="1"/>
  <c r="G98" i="1"/>
  <c r="G89" i="1"/>
  <c r="G96" i="1"/>
  <c r="G86" i="1"/>
  <c r="G85" i="1"/>
  <c r="G84" i="1"/>
  <c r="G81" i="1"/>
  <c r="G95" i="1"/>
  <c r="G93" i="1"/>
  <c r="G92" i="1"/>
  <c r="G91" i="1"/>
  <c r="G77" i="1"/>
  <c r="G75" i="1"/>
  <c r="G74" i="1"/>
  <c r="G73" i="1"/>
  <c r="G72" i="1"/>
  <c r="G71" i="1"/>
  <c r="G68" i="1"/>
  <c r="K295" i="1"/>
  <c r="J295" i="1"/>
  <c r="K94" i="1"/>
  <c r="J94" i="1"/>
  <c r="K90" i="1"/>
  <c r="J90" i="1"/>
  <c r="G69" i="1"/>
  <c r="G82" i="1"/>
  <c r="G108" i="1"/>
  <c r="G137" i="1"/>
  <c r="G164" i="1"/>
  <c r="F90" i="1"/>
  <c r="F133" i="1"/>
  <c r="F164" i="1"/>
  <c r="F225" i="1"/>
  <c r="F233" i="1"/>
  <c r="F238" i="1"/>
  <c r="G52" i="1"/>
  <c r="F119" i="1"/>
  <c r="K119" i="1"/>
  <c r="J119" i="1"/>
  <c r="F115" i="1"/>
  <c r="K115" i="1"/>
  <c r="J115" i="1"/>
  <c r="F111" i="1"/>
  <c r="K111" i="1"/>
  <c r="J111" i="1"/>
  <c r="F107" i="1"/>
  <c r="J107" i="1"/>
  <c r="F149" i="1"/>
  <c r="J149" i="1"/>
  <c r="F145" i="1"/>
  <c r="J145" i="1"/>
  <c r="F141" i="1"/>
  <c r="J141" i="1"/>
  <c r="K141" i="1"/>
  <c r="F136" i="1"/>
  <c r="K136" i="1"/>
  <c r="J136" i="1"/>
  <c r="J214" i="1"/>
  <c r="K214" i="1"/>
  <c r="J210" i="1"/>
  <c r="K210" i="1"/>
  <c r="J250" i="1"/>
  <c r="K250" i="1"/>
  <c r="K259" i="1"/>
  <c r="J259" i="1"/>
  <c r="J291" i="1"/>
  <c r="K289" i="1"/>
  <c r="J289" i="1"/>
  <c r="J294" i="1"/>
  <c r="K294" i="1"/>
  <c r="J99" i="1"/>
  <c r="K99" i="1"/>
  <c r="J93" i="1"/>
  <c r="K93" i="1"/>
  <c r="K53" i="1"/>
  <c r="J52" i="1"/>
  <c r="J233" i="1"/>
  <c r="J63" i="1"/>
  <c r="K116" i="1"/>
  <c r="J116" i="1"/>
  <c r="G174" i="1"/>
  <c r="J174" i="1"/>
  <c r="F196" i="1"/>
  <c r="J196" i="1"/>
  <c r="F192" i="1"/>
  <c r="K192" i="1"/>
  <c r="J192" i="1"/>
  <c r="G186" i="1"/>
  <c r="J186" i="1"/>
  <c r="F182" i="1"/>
  <c r="K182" i="1"/>
  <c r="J182" i="1"/>
  <c r="K215" i="1"/>
  <c r="J215" i="1"/>
  <c r="K211" i="1"/>
  <c r="J211" i="1"/>
  <c r="J261" i="1"/>
  <c r="J69" i="1"/>
  <c r="K69" i="1"/>
  <c r="J169" i="1"/>
  <c r="G150" i="1"/>
  <c r="G211" i="1"/>
  <c r="G215" i="1"/>
  <c r="G253" i="1"/>
  <c r="F76" i="1"/>
  <c r="F82" i="1"/>
  <c r="F86" i="1"/>
  <c r="F116" i="1"/>
  <c r="F124" i="1"/>
  <c r="F169" i="1"/>
  <c r="F174" i="1"/>
  <c r="F295" i="1"/>
  <c r="F104" i="1"/>
  <c r="J118" i="1"/>
  <c r="K118" i="1"/>
  <c r="J114" i="1"/>
  <c r="K114" i="1"/>
  <c r="J110" i="1"/>
  <c r="K110" i="1"/>
  <c r="K140" i="1"/>
  <c r="J140" i="1"/>
  <c r="J126" i="1"/>
  <c r="K126" i="1"/>
  <c r="J172" i="1"/>
  <c r="K213" i="1"/>
  <c r="J213" i="1"/>
  <c r="K209" i="1"/>
  <c r="J209" i="1"/>
  <c r="K204" i="1"/>
  <c r="J204" i="1"/>
  <c r="J222" i="1"/>
  <c r="G236" i="1"/>
  <c r="J236" i="1"/>
  <c r="G267" i="1"/>
  <c r="K267" i="1"/>
  <c r="J288" i="1"/>
  <c r="K288" i="1"/>
  <c r="K301" i="1"/>
  <c r="J301" i="1"/>
  <c r="J96" i="1"/>
  <c r="K297" i="1"/>
  <c r="K112" i="1"/>
  <c r="J112" i="1"/>
  <c r="J290" i="1"/>
  <c r="K290" i="1"/>
  <c r="G90" i="1"/>
  <c r="G94" i="1"/>
  <c r="G133" i="1"/>
  <c r="G38" i="1"/>
  <c r="G104" i="1"/>
  <c r="G112" i="1"/>
  <c r="G116" i="1"/>
  <c r="G225" i="1"/>
  <c r="G238" i="1"/>
  <c r="F142" i="1"/>
  <c r="F207" i="1"/>
  <c r="F253" i="1"/>
  <c r="F261" i="1"/>
  <c r="F270" i="1"/>
  <c r="F278" i="1"/>
  <c r="J267" i="1"/>
  <c r="J117" i="1"/>
  <c r="K117" i="1"/>
  <c r="J113" i="1"/>
  <c r="K113" i="1"/>
  <c r="J109" i="1"/>
  <c r="K109" i="1"/>
  <c r="J125" i="1"/>
  <c r="K125" i="1"/>
  <c r="J170" i="1"/>
  <c r="K170" i="1"/>
  <c r="J183" i="1"/>
  <c r="K183" i="1"/>
  <c r="F216" i="1"/>
  <c r="J216" i="1"/>
  <c r="K216" i="1"/>
  <c r="F212" i="1"/>
  <c r="J212" i="1"/>
  <c r="K212" i="1"/>
  <c r="G208" i="1"/>
  <c r="J208" i="1"/>
  <c r="F226" i="1"/>
  <c r="J226" i="1"/>
  <c r="J239" i="1"/>
  <c r="K239" i="1"/>
  <c r="F302" i="1"/>
  <c r="K300" i="1"/>
  <c r="J300" i="1"/>
  <c r="F95" i="1"/>
  <c r="K95" i="1"/>
  <c r="J95" i="1"/>
  <c r="F91" i="1"/>
  <c r="K91" i="1"/>
  <c r="J91" i="1"/>
  <c r="G87" i="1"/>
  <c r="J87" i="1"/>
  <c r="G83" i="1"/>
  <c r="J83" i="1"/>
  <c r="F70" i="1"/>
  <c r="J70" i="1"/>
  <c r="K70" i="1"/>
  <c r="J165" i="1"/>
  <c r="J159" i="1"/>
  <c r="K159" i="1"/>
  <c r="K55" i="1"/>
  <c r="K104" i="1"/>
  <c r="J249" i="1"/>
  <c r="J221" i="1"/>
  <c r="K129" i="1"/>
  <c r="J129" i="1"/>
  <c r="J275" i="1"/>
  <c r="K68" i="1"/>
  <c r="J68" i="1"/>
  <c r="J243" i="1"/>
  <c r="K74" i="1"/>
  <c r="J74" i="1"/>
  <c r="J135" i="1"/>
  <c r="K124" i="1"/>
  <c r="J124" i="1"/>
  <c r="J76" i="1"/>
  <c r="J127" i="1"/>
  <c r="J258" i="1"/>
  <c r="K184" i="1"/>
  <c r="J184" i="1"/>
  <c r="K73" i="1"/>
  <c r="J73" i="1"/>
  <c r="K132" i="1"/>
  <c r="J132" i="1"/>
  <c r="G246" i="1"/>
  <c r="F246" i="1"/>
  <c r="G302" i="1"/>
  <c r="G97" i="1"/>
  <c r="G119" i="1"/>
  <c r="G145" i="1"/>
  <c r="G149" i="1"/>
  <c r="G182" i="1"/>
  <c r="G212" i="1"/>
  <c r="G221" i="1"/>
  <c r="G226" i="1"/>
  <c r="G262" i="1"/>
  <c r="J262" i="1"/>
  <c r="G284" i="1"/>
  <c r="J284" i="1"/>
  <c r="F203" i="1"/>
  <c r="F208" i="1"/>
  <c r="F267" i="1"/>
  <c r="F55" i="1"/>
  <c r="D58" i="1"/>
  <c r="D64" i="1"/>
  <c r="G70" i="1"/>
  <c r="G79" i="1"/>
  <c r="G111" i="1"/>
  <c r="G127" i="1"/>
  <c r="G203" i="1"/>
  <c r="F127" i="1"/>
  <c r="F159" i="1"/>
  <c r="F236" i="1"/>
  <c r="F284" i="1"/>
  <c r="G47" i="1"/>
  <c r="F47" i="1"/>
  <c r="F255" i="1"/>
  <c r="F15" i="1"/>
  <c r="G107" i="1"/>
  <c r="G115" i="1"/>
  <c r="G132" i="1"/>
  <c r="G136" i="1"/>
  <c r="G141" i="1"/>
  <c r="G289" i="1"/>
  <c r="G295" i="1"/>
  <c r="F165" i="1"/>
  <c r="F300" i="1"/>
  <c r="J297" i="1"/>
  <c r="G291" i="1"/>
  <c r="K291" i="1"/>
  <c r="K282" i="1"/>
  <c r="K221" i="1"/>
  <c r="K275" i="1"/>
  <c r="K158" i="1"/>
  <c r="K181" i="1"/>
  <c r="K258" i="1"/>
  <c r="J285" i="1"/>
  <c r="F22" i="1"/>
  <c r="G21" i="1"/>
  <c r="D37" i="1"/>
  <c r="J62" i="1"/>
  <c r="G62" i="1"/>
  <c r="K62" i="1"/>
  <c r="F62" i="1"/>
  <c r="H7" i="1"/>
  <c r="B15" i="1"/>
  <c r="G15" i="1"/>
  <c r="G255" i="1"/>
  <c r="D17" i="5"/>
  <c r="C58" i="1"/>
  <c r="M64" i="1"/>
  <c r="M26" i="1"/>
  <c r="M37" i="1"/>
  <c r="M36" i="1"/>
  <c r="H56" i="1"/>
  <c r="J56" i="1"/>
  <c r="G56" i="1"/>
  <c r="I49" i="1"/>
  <c r="F49" i="1"/>
  <c r="H49" i="1"/>
  <c r="J49" i="1"/>
  <c r="G49" i="1"/>
  <c r="E23" i="1"/>
  <c r="G297" i="1"/>
  <c r="I266" i="1"/>
  <c r="K266" i="1"/>
  <c r="H272" i="1"/>
  <c r="K302" i="1"/>
  <c r="I32" i="1"/>
  <c r="E32" i="1"/>
  <c r="K32" i="1"/>
  <c r="E218" i="1"/>
  <c r="J218" i="1"/>
  <c r="H22" i="1"/>
  <c r="J302" i="1"/>
  <c r="M32" i="1"/>
  <c r="I203" i="1"/>
  <c r="K203" i="1"/>
  <c r="H29" i="1"/>
  <c r="J203" i="1"/>
  <c r="M30" i="1"/>
  <c r="B64" i="1"/>
  <c r="B304" i="1"/>
  <c r="B37" i="1"/>
  <c r="H121" i="1"/>
  <c r="K23" i="1"/>
  <c r="H32" i="1"/>
  <c r="B16" i="1"/>
  <c r="G227" i="1"/>
  <c r="J227" i="1"/>
  <c r="F198" i="1"/>
  <c r="J162" i="1"/>
  <c r="H45" i="1"/>
  <c r="E44" i="1"/>
  <c r="K44" i="1"/>
  <c r="E230" i="1"/>
  <c r="K35" i="1"/>
  <c r="E29" i="1"/>
  <c r="N34" i="1"/>
  <c r="N6" i="1"/>
  <c r="K222" i="1"/>
  <c r="J181" i="1"/>
  <c r="G162" i="1"/>
  <c r="G189" i="1"/>
  <c r="G198" i="1"/>
  <c r="J198" i="1"/>
  <c r="F181" i="1"/>
  <c r="F227" i="1"/>
  <c r="G45" i="1"/>
  <c r="N200" i="1"/>
  <c r="E101" i="1"/>
  <c r="N263" i="1"/>
  <c r="E272" i="1"/>
  <c r="E120" i="1"/>
  <c r="K120" i="1"/>
  <c r="N178" i="1"/>
  <c r="N240" i="1"/>
  <c r="N285" i="1"/>
  <c r="G230" i="1"/>
  <c r="J29" i="1"/>
  <c r="K22" i="1"/>
  <c r="N19" i="1"/>
  <c r="G218" i="1"/>
  <c r="N16" i="1"/>
  <c r="E58" i="1"/>
  <c r="E64" i="1"/>
  <c r="J44" i="1"/>
  <c r="F44" i="1"/>
  <c r="G44" i="1"/>
  <c r="I218" i="1"/>
  <c r="H17" i="1"/>
  <c r="F23" i="1"/>
  <c r="J23" i="1"/>
  <c r="G23" i="1"/>
  <c r="N12" i="1"/>
  <c r="I272" i="1"/>
  <c r="K272" i="1"/>
  <c r="N14" i="1"/>
  <c r="N9" i="1"/>
  <c r="B26" i="1"/>
  <c r="D11" i="5"/>
  <c r="D20" i="5"/>
  <c r="E8" i="1"/>
  <c r="K8" i="1"/>
  <c r="F120" i="1"/>
  <c r="G120" i="1"/>
  <c r="J120" i="1"/>
  <c r="J35" i="1"/>
  <c r="G35" i="1"/>
  <c r="G32" i="1"/>
  <c r="J32" i="1"/>
  <c r="J22" i="1"/>
  <c r="H24" i="1"/>
  <c r="E37" i="1"/>
  <c r="G37" i="1"/>
  <c r="F58" i="1"/>
  <c r="K218" i="1"/>
  <c r="F8" i="1"/>
  <c r="J8" i="1"/>
  <c r="G8" i="1"/>
  <c r="G5" i="1"/>
  <c r="J5" i="1"/>
  <c r="K5" i="1"/>
  <c r="P94" i="1"/>
  <c r="P110" i="1"/>
  <c r="P142" i="1"/>
  <c r="Q69" i="1"/>
  <c r="Q130" i="1"/>
  <c r="Q222" i="1"/>
  <c r="Q267" i="1"/>
  <c r="P82" i="1"/>
  <c r="P114" i="1"/>
  <c r="P209" i="1"/>
  <c r="P259" i="1"/>
  <c r="Q117" i="1"/>
  <c r="Q225" i="1"/>
  <c r="P86" i="1"/>
  <c r="P99" i="1"/>
  <c r="P151" i="1"/>
  <c r="P182" i="1"/>
  <c r="P226" i="1"/>
  <c r="Q244" i="1"/>
  <c r="P49" i="1"/>
  <c r="Q51" i="1"/>
  <c r="Q55" i="1"/>
  <c r="P34" i="1"/>
  <c r="P112" i="1"/>
  <c r="P144" i="1"/>
  <c r="P174" i="1"/>
  <c r="P196" i="1"/>
  <c r="P236" i="1"/>
  <c r="Q72" i="1"/>
  <c r="Q170" i="1"/>
  <c r="Q194" i="1"/>
  <c r="Q237" i="1"/>
  <c r="Q270" i="1"/>
  <c r="P80" i="1"/>
  <c r="P88" i="1"/>
  <c r="P108" i="1"/>
  <c r="P116" i="1"/>
  <c r="P140" i="1"/>
  <c r="P96" i="1"/>
  <c r="P133" i="1"/>
  <c r="P250" i="1"/>
  <c r="Q207" i="1"/>
  <c r="P297" i="1"/>
  <c r="P233" i="1"/>
  <c r="P189" i="1"/>
  <c r="Q221" i="1"/>
  <c r="P113" i="1"/>
  <c r="P118" i="1"/>
  <c r="P147" i="1"/>
  <c r="P162" i="1"/>
  <c r="P192" i="1"/>
  <c r="P216" i="1"/>
  <c r="Q70" i="1"/>
  <c r="Q93" i="1"/>
  <c r="Q105" i="1"/>
  <c r="Q187" i="1"/>
  <c r="Q208" i="1"/>
  <c r="Q266" i="1"/>
  <c r="P175" i="1"/>
  <c r="P204" i="1"/>
  <c r="P212" i="1"/>
  <c r="P271" i="1"/>
  <c r="Q89" i="1"/>
  <c r="P239" i="1"/>
  <c r="Q85" i="1"/>
  <c r="Q53" i="1"/>
  <c r="P300" i="1"/>
  <c r="P294" i="1"/>
  <c r="P291" i="1"/>
  <c r="Q35" i="1"/>
  <c r="P104" i="1"/>
  <c r="P249" i="1"/>
  <c r="Q74" i="1"/>
  <c r="P47" i="1"/>
  <c r="Q62" i="1"/>
  <c r="P288" i="1"/>
  <c r="Q288" i="1"/>
  <c r="P68" i="1"/>
  <c r="P132" i="1"/>
  <c r="Q258" i="1"/>
  <c r="Q275" i="1"/>
  <c r="P76" i="1"/>
  <c r="P129" i="1"/>
  <c r="P169" i="1"/>
  <c r="Q29" i="1"/>
  <c r="Q104" i="1"/>
  <c r="P31" i="1"/>
  <c r="P230" i="1"/>
  <c r="P5" i="1"/>
  <c r="N166" i="1"/>
  <c r="Q166" i="1"/>
  <c r="P83" i="1"/>
  <c r="P100" i="1"/>
  <c r="P111" i="1"/>
  <c r="P115" i="1"/>
  <c r="P119" i="1"/>
  <c r="P283" i="1"/>
  <c r="Q125" i="1"/>
  <c r="Q131" i="1"/>
  <c r="Q164" i="1"/>
  <c r="Q211" i="1"/>
  <c r="Q252" i="1"/>
  <c r="P91" i="1"/>
  <c r="P125" i="1"/>
  <c r="P143" i="1"/>
  <c r="P185" i="1"/>
  <c r="P235" i="1"/>
  <c r="Q159" i="1"/>
  <c r="P120" i="1"/>
  <c r="P87" i="1"/>
  <c r="P215" i="1"/>
  <c r="Q176" i="1"/>
  <c r="P33" i="1"/>
  <c r="E11" i="1"/>
  <c r="K11" i="1"/>
  <c r="E24" i="1"/>
  <c r="K24" i="1"/>
  <c r="E26" i="1"/>
  <c r="G64" i="1"/>
  <c r="F64" i="1"/>
  <c r="E17" i="1"/>
  <c r="K17" i="1"/>
  <c r="J101" i="1"/>
  <c r="E7" i="1"/>
  <c r="G101" i="1"/>
  <c r="F101" i="1"/>
  <c r="E11" i="5"/>
  <c r="E20" i="5"/>
  <c r="J17" i="1"/>
  <c r="G17" i="1"/>
  <c r="G272" i="1"/>
  <c r="F272" i="1"/>
  <c r="E178" i="1"/>
  <c r="G58" i="1"/>
  <c r="J24" i="1"/>
  <c r="E121" i="1"/>
  <c r="J272" i="1"/>
  <c r="F29" i="1"/>
  <c r="G29" i="1"/>
  <c r="J121" i="1"/>
  <c r="D18" i="1"/>
  <c r="F285" i="1"/>
  <c r="D14" i="1"/>
  <c r="F14" i="1"/>
  <c r="M138" i="1"/>
  <c r="M155" i="1"/>
  <c r="M6" i="1"/>
  <c r="L155" i="1"/>
  <c r="L6" i="1"/>
  <c r="L8" i="1"/>
  <c r="L20" i="1"/>
  <c r="G22" i="1"/>
  <c r="B24" i="1"/>
  <c r="B20" i="1"/>
  <c r="B25" i="1"/>
  <c r="G31" i="1"/>
  <c r="J31" i="1"/>
  <c r="I178" i="1"/>
  <c r="I29" i="1"/>
  <c r="K169" i="1"/>
  <c r="C37" i="1"/>
  <c r="C64" i="1"/>
  <c r="D5" i="1"/>
  <c r="F218" i="1"/>
  <c r="J21" i="1"/>
  <c r="F21" i="1"/>
  <c r="G14" i="1"/>
  <c r="J14" i="1"/>
  <c r="E36" i="1"/>
  <c r="F36" i="1"/>
  <c r="G172" i="1"/>
  <c r="K172" i="1"/>
  <c r="K127" i="1"/>
  <c r="P246" i="1"/>
  <c r="Q246" i="1"/>
  <c r="P150" i="1"/>
  <c r="S150" i="1"/>
  <c r="Q150" i="1"/>
  <c r="F37" i="1"/>
  <c r="C304" i="1"/>
  <c r="K230" i="1"/>
  <c r="J230" i="1"/>
  <c r="F230" i="1"/>
  <c r="K49" i="1"/>
  <c r="C20" i="1"/>
  <c r="C27" i="1"/>
  <c r="C39" i="1"/>
  <c r="C40" i="1"/>
  <c r="F263" i="1"/>
  <c r="D16" i="1"/>
  <c r="D12" i="1"/>
  <c r="F178" i="1"/>
  <c r="J271" i="1"/>
  <c r="F271" i="1"/>
  <c r="G271" i="1"/>
  <c r="G266" i="1"/>
  <c r="J266" i="1"/>
  <c r="E16" i="1"/>
  <c r="G16" i="1"/>
  <c r="K263" i="1"/>
  <c r="G263" i="1"/>
  <c r="K14" i="1"/>
  <c r="K285" i="1"/>
  <c r="H188" i="1"/>
  <c r="H200" i="1"/>
  <c r="F188" i="1"/>
  <c r="G188" i="1"/>
  <c r="E200" i="1"/>
  <c r="I189" i="1"/>
  <c r="K189" i="1"/>
  <c r="J189" i="1"/>
  <c r="H30" i="1"/>
  <c r="K100" i="1"/>
  <c r="F100" i="1"/>
  <c r="J100" i="1"/>
  <c r="G100" i="1"/>
  <c r="K96" i="1"/>
  <c r="F96" i="1"/>
  <c r="J92" i="1"/>
  <c r="F92" i="1"/>
  <c r="K92" i="1"/>
  <c r="G88" i="1"/>
  <c r="F88" i="1"/>
  <c r="J84" i="1"/>
  <c r="F84" i="1"/>
  <c r="G80" i="1"/>
  <c r="J80" i="1"/>
  <c r="F71" i="1"/>
  <c r="K71" i="1"/>
  <c r="E30" i="1"/>
  <c r="G30" i="1"/>
  <c r="J71" i="1"/>
  <c r="I101" i="1"/>
  <c r="K76" i="1"/>
  <c r="H154" i="1"/>
  <c r="H155" i="1"/>
  <c r="F154" i="1"/>
  <c r="F150" i="1"/>
  <c r="J150" i="1"/>
  <c r="K150" i="1"/>
  <c r="J146" i="1"/>
  <c r="F146" i="1"/>
  <c r="G146" i="1"/>
  <c r="K21" i="1"/>
  <c r="F30" i="1"/>
  <c r="D32" i="1"/>
  <c r="D304" i="1"/>
  <c r="F297" i="1"/>
  <c r="H16" i="1"/>
  <c r="J263" i="1"/>
  <c r="M101" i="1"/>
  <c r="J237" i="1"/>
  <c r="F237" i="1"/>
  <c r="E240" i="1"/>
  <c r="H240" i="1"/>
  <c r="I233" i="1"/>
  <c r="L23" i="1"/>
  <c r="E279" i="1"/>
  <c r="F279" i="1"/>
  <c r="E166" i="1"/>
  <c r="I135" i="1"/>
  <c r="K135" i="1"/>
  <c r="H47" i="1"/>
  <c r="E33" i="1"/>
  <c r="I249" i="1"/>
  <c r="H255" i="1"/>
  <c r="I243" i="1"/>
  <c r="H246" i="1"/>
  <c r="I200" i="1"/>
  <c r="Q34" i="1"/>
  <c r="P301" i="1"/>
  <c r="Q301" i="1"/>
  <c r="J33" i="1"/>
  <c r="L21" i="1"/>
  <c r="L32" i="1"/>
  <c r="L121" i="1"/>
  <c r="I54" i="1"/>
  <c r="I58" i="1"/>
  <c r="H54" i="1"/>
  <c r="F185" i="1"/>
  <c r="J185" i="1"/>
  <c r="E34" i="1"/>
  <c r="J133" i="1"/>
  <c r="E155" i="1"/>
  <c r="M120" i="1"/>
  <c r="M8" i="1"/>
  <c r="N101" i="1"/>
  <c r="P50" i="1"/>
  <c r="Q50" i="1"/>
  <c r="N64" i="1"/>
  <c r="N38" i="1"/>
  <c r="P295" i="1"/>
  <c r="Q295" i="1"/>
  <c r="P35" i="1"/>
  <c r="P277" i="1"/>
  <c r="P75" i="1"/>
  <c r="P172" i="1"/>
  <c r="Q31" i="1"/>
  <c r="P36" i="1"/>
  <c r="Q186" i="1"/>
  <c r="Q193" i="1"/>
  <c r="Q261" i="1"/>
  <c r="Q269" i="1"/>
  <c r="Q282" i="1"/>
  <c r="P134" i="1"/>
  <c r="P141" i="1"/>
  <c r="P145" i="1"/>
  <c r="P149" i="1"/>
  <c r="P163" i="1"/>
  <c r="Q106" i="1"/>
  <c r="N10" i="1"/>
  <c r="P224" i="1"/>
  <c r="Q181" i="1"/>
  <c r="Q294" i="1"/>
  <c r="Q33" i="1"/>
  <c r="Q297" i="1"/>
  <c r="P240" i="1"/>
  <c r="Q200" i="1"/>
  <c r="Q120" i="1"/>
  <c r="P11" i="1"/>
  <c r="Q21" i="1"/>
  <c r="Q291" i="1"/>
  <c r="Q32" i="1"/>
  <c r="Q230" i="1"/>
  <c r="Q218" i="1"/>
  <c r="P8" i="1"/>
  <c r="P29" i="1"/>
  <c r="Q240" i="1"/>
  <c r="P218" i="1"/>
  <c r="Q5" i="1"/>
  <c r="P200" i="1"/>
  <c r="Q255" i="1"/>
  <c r="P255" i="1"/>
  <c r="H6" i="1"/>
  <c r="J155" i="1"/>
  <c r="G11" i="5"/>
  <c r="H20" i="5"/>
  <c r="I64" i="1"/>
  <c r="I37" i="1"/>
  <c r="K37" i="1"/>
  <c r="K58" i="1"/>
  <c r="Q155" i="1"/>
  <c r="P155" i="1"/>
  <c r="K200" i="1"/>
  <c r="P19" i="1"/>
  <c r="Q19" i="1"/>
  <c r="Q101" i="1"/>
  <c r="P101" i="1"/>
  <c r="O121" i="1"/>
  <c r="Q58" i="1"/>
  <c r="P58" i="1"/>
  <c r="E6" i="1"/>
  <c r="F155" i="1"/>
  <c r="G155" i="1"/>
  <c r="P21" i="1"/>
  <c r="H15" i="1"/>
  <c r="J15" i="1"/>
  <c r="J255" i="1"/>
  <c r="J47" i="1"/>
  <c r="H58" i="1"/>
  <c r="L304" i="1"/>
  <c r="G240" i="1"/>
  <c r="F240" i="1"/>
  <c r="E19" i="1"/>
  <c r="F32" i="1"/>
  <c r="E9" i="1"/>
  <c r="G200" i="1"/>
  <c r="F200" i="1"/>
  <c r="P10" i="1"/>
  <c r="Q10" i="1"/>
  <c r="G26" i="1"/>
  <c r="F26" i="1"/>
  <c r="P63" i="1"/>
  <c r="Q63" i="1"/>
  <c r="I255" i="1"/>
  <c r="K249" i="1"/>
  <c r="K101" i="1"/>
  <c r="I121" i="1"/>
  <c r="K121" i="1"/>
  <c r="K7" i="1"/>
  <c r="J30" i="1"/>
  <c r="K29" i="1"/>
  <c r="J178" i="1"/>
  <c r="E12" i="1"/>
  <c r="G178" i="1"/>
  <c r="Q285" i="1"/>
  <c r="P285" i="1"/>
  <c r="Q30" i="1"/>
  <c r="P30" i="1"/>
  <c r="N26" i="1"/>
  <c r="T62" i="1"/>
  <c r="N7" i="1"/>
  <c r="N20" i="1"/>
  <c r="N121" i="1"/>
  <c r="N304" i="1"/>
  <c r="F34" i="1"/>
  <c r="J34" i="1"/>
  <c r="G34" i="1"/>
  <c r="L24" i="1"/>
  <c r="L25" i="1"/>
  <c r="J246" i="1"/>
  <c r="H13" i="1"/>
  <c r="J13" i="1"/>
  <c r="G33" i="1"/>
  <c r="F33" i="1"/>
  <c r="E10" i="1"/>
  <c r="J166" i="1"/>
  <c r="F166" i="1"/>
  <c r="G166" i="1"/>
  <c r="K166" i="1"/>
  <c r="I240" i="1"/>
  <c r="K233" i="1"/>
  <c r="G11" i="1"/>
  <c r="F11" i="1"/>
  <c r="J11" i="1"/>
  <c r="Q13" i="1"/>
  <c r="P13" i="1"/>
  <c r="I30" i="1"/>
  <c r="K30" i="1"/>
  <c r="G24" i="1"/>
  <c r="F24" i="1"/>
  <c r="F5" i="1"/>
  <c r="D20" i="1"/>
  <c r="Q9" i="1"/>
  <c r="P9" i="1"/>
  <c r="K178" i="1"/>
  <c r="B27" i="1"/>
  <c r="B39" i="1"/>
  <c r="G121" i="1"/>
  <c r="F121" i="1"/>
  <c r="F17" i="1"/>
  <c r="P263" i="1"/>
  <c r="Q263" i="1"/>
  <c r="Q279" i="1"/>
  <c r="P279" i="1"/>
  <c r="Q272" i="1"/>
  <c r="P272" i="1"/>
  <c r="P302" i="1"/>
  <c r="Q302" i="1"/>
  <c r="Q36" i="1"/>
  <c r="P23" i="1"/>
  <c r="Q23" i="1"/>
  <c r="Q178" i="1"/>
  <c r="P178" i="1"/>
  <c r="I246" i="1"/>
  <c r="K243" i="1"/>
  <c r="E18" i="1"/>
  <c r="F18" i="1"/>
  <c r="K279" i="1"/>
  <c r="G279" i="1"/>
  <c r="J279" i="1"/>
  <c r="E304" i="1"/>
  <c r="G304" i="1"/>
  <c r="H19" i="1"/>
  <c r="J240" i="1"/>
  <c r="M7" i="1"/>
  <c r="M20" i="1"/>
  <c r="M121" i="1"/>
  <c r="M304" i="1"/>
  <c r="J16" i="1"/>
  <c r="F304" i="1"/>
  <c r="G8" i="5"/>
  <c r="H9" i="1"/>
  <c r="J9" i="1"/>
  <c r="J200" i="1"/>
  <c r="F16" i="1"/>
  <c r="P166" i="1"/>
  <c r="I155" i="1"/>
  <c r="K36" i="1"/>
  <c r="G36" i="1"/>
  <c r="J36" i="1"/>
  <c r="K16" i="1"/>
  <c r="E8" i="5"/>
  <c r="J7" i="1"/>
  <c r="G7" i="1"/>
  <c r="F7" i="1"/>
  <c r="C25" i="1"/>
  <c r="P32" i="1"/>
  <c r="Q8" i="1"/>
  <c r="Q11" i="1"/>
  <c r="O304" i="1"/>
  <c r="T304" i="1"/>
  <c r="P15" i="1"/>
  <c r="Q15" i="1"/>
  <c r="N305" i="1"/>
  <c r="K155" i="1"/>
  <c r="D25" i="1"/>
  <c r="D27" i="1"/>
  <c r="P14" i="1"/>
  <c r="Q14" i="1"/>
  <c r="H17" i="5"/>
  <c r="M27" i="1"/>
  <c r="M39" i="1"/>
  <c r="M25" i="1"/>
  <c r="P22" i="1"/>
  <c r="Q22" i="1"/>
  <c r="P18" i="1"/>
  <c r="Q18" i="1"/>
  <c r="Q16" i="1"/>
  <c r="P16" i="1"/>
  <c r="K12" i="1"/>
  <c r="K240" i="1"/>
  <c r="K19" i="1"/>
  <c r="N25" i="1"/>
  <c r="N27" i="1"/>
  <c r="P64" i="1"/>
  <c r="Q64" i="1"/>
  <c r="J6" i="1"/>
  <c r="H20" i="1"/>
  <c r="K13" i="1"/>
  <c r="K246" i="1"/>
  <c r="K10" i="1"/>
  <c r="G10" i="1"/>
  <c r="F10" i="1"/>
  <c r="J10" i="1"/>
  <c r="G12" i="1"/>
  <c r="J12" i="1"/>
  <c r="G19" i="1"/>
  <c r="F19" i="1"/>
  <c r="H64" i="1"/>
  <c r="H37" i="1"/>
  <c r="J58" i="1"/>
  <c r="Q24" i="1"/>
  <c r="P24" i="1"/>
  <c r="Q37" i="1"/>
  <c r="P37" i="1"/>
  <c r="P7" i="1"/>
  <c r="Q7" i="1"/>
  <c r="L27" i="1"/>
  <c r="L39" i="1"/>
  <c r="E13" i="5"/>
  <c r="E17" i="5"/>
  <c r="J19" i="1"/>
  <c r="Q17" i="1"/>
  <c r="P17" i="1"/>
  <c r="D10" i="5"/>
  <c r="B40" i="1"/>
  <c r="F12" i="1"/>
  <c r="Q38" i="1"/>
  <c r="P38" i="1"/>
  <c r="G9" i="1"/>
  <c r="F9" i="1"/>
  <c r="G6" i="1"/>
  <c r="F6" i="1"/>
  <c r="F20" i="1"/>
  <c r="F25" i="1"/>
  <c r="E20" i="1"/>
  <c r="P121" i="1"/>
  <c r="Q121" i="1"/>
  <c r="K9" i="1"/>
  <c r="P6" i="1"/>
  <c r="Q6" i="1"/>
  <c r="G18" i="1"/>
  <c r="K18" i="1"/>
  <c r="J18" i="1"/>
  <c r="Q12" i="1"/>
  <c r="P12" i="1"/>
  <c r="K15" i="1"/>
  <c r="K255" i="1"/>
  <c r="I304" i="1"/>
  <c r="K304" i="1"/>
  <c r="I26" i="1"/>
  <c r="K26" i="1"/>
  <c r="K64" i="1"/>
  <c r="P304" i="1"/>
  <c r="Q304" i="1"/>
  <c r="Q20" i="1"/>
  <c r="P20" i="1"/>
  <c r="D12" i="5"/>
  <c r="D19" i="5"/>
  <c r="D21" i="5"/>
  <c r="F9" i="5"/>
  <c r="L40" i="1"/>
  <c r="D39" i="1"/>
  <c r="E27" i="1"/>
  <c r="F27" i="1"/>
  <c r="K6" i="1"/>
  <c r="I20" i="1"/>
  <c r="J37" i="1"/>
  <c r="P26" i="1"/>
  <c r="Q26" i="1"/>
  <c r="G20" i="1"/>
  <c r="E25" i="1"/>
  <c r="G25" i="1"/>
  <c r="O25" i="1"/>
  <c r="J64" i="1"/>
  <c r="H26" i="1"/>
  <c r="J26" i="1"/>
  <c r="H304" i="1"/>
  <c r="J304" i="1"/>
  <c r="N39" i="1"/>
  <c r="N40" i="1"/>
  <c r="H27" i="1"/>
  <c r="H25" i="1"/>
  <c r="J25" i="1"/>
  <c r="J20" i="1"/>
  <c r="M40" i="1"/>
  <c r="F10" i="5"/>
  <c r="G19" i="5"/>
  <c r="Q25" i="1"/>
  <c r="P25" i="1"/>
  <c r="Q27" i="1"/>
  <c r="P27" i="1"/>
  <c r="H39" i="1"/>
  <c r="J27" i="1"/>
  <c r="E39" i="1"/>
  <c r="G27" i="1"/>
  <c r="K20" i="1"/>
  <c r="I27" i="1"/>
  <c r="I25" i="1"/>
  <c r="K25" i="1"/>
  <c r="F39" i="1"/>
  <c r="D40" i="1"/>
  <c r="F12" i="5"/>
  <c r="G18" i="5"/>
  <c r="G21" i="5"/>
  <c r="G39" i="1"/>
  <c r="E10" i="5"/>
  <c r="E40" i="1"/>
  <c r="G40" i="1"/>
  <c r="K27" i="1"/>
  <c r="I39" i="1"/>
  <c r="P39" i="1"/>
  <c r="Q39" i="1"/>
  <c r="O40" i="1"/>
  <c r="J39" i="1"/>
  <c r="G9" i="5"/>
  <c r="H40" i="1"/>
  <c r="F40" i="1"/>
  <c r="J40" i="1"/>
  <c r="P40" i="1"/>
  <c r="Q40" i="1"/>
  <c r="S40" i="1"/>
  <c r="H18" i="5"/>
  <c r="G10" i="5"/>
  <c r="G12" i="5"/>
  <c r="E19" i="5"/>
  <c r="E21" i="5"/>
  <c r="E12" i="5"/>
  <c r="H19" i="5"/>
  <c r="K39" i="1"/>
  <c r="I40" i="1"/>
  <c r="K40" i="1"/>
  <c r="H21" i="5"/>
</calcChain>
</file>

<file path=xl/comments1.xml><?xml version="1.0" encoding="utf-8"?>
<comments xmlns="http://schemas.openxmlformats.org/spreadsheetml/2006/main">
  <authors>
    <author>Microsoft Office User</author>
    <author>Harrison Rommel</author>
    <author>Clayton Lobaugh</author>
    <author>Ron Spilman</author>
  </authors>
  <commentList>
    <comment ref="I33" authorId="0" shapeId="0">
      <text>
        <r>
          <rPr>
            <b/>
            <sz val="10"/>
            <color indexed="81"/>
            <rFont val="Calibri"/>
            <family val="2"/>
          </rPr>
          <t xml:space="preserve">Microsoft Office User:
Foldedi into I&amp;G
</t>
        </r>
      </text>
    </comment>
    <comment ref="K33" authorId="0" shapeId="0">
      <text>
        <r>
          <rPr>
            <b/>
            <sz val="10"/>
            <color indexed="81"/>
            <rFont val="Calibri"/>
            <family val="2"/>
          </rPr>
          <t xml:space="preserve">Microsoft Office User:
Foldedi into I&amp;G
</t>
        </r>
      </text>
    </comment>
    <comment ref="L33" authorId="0" shapeId="0">
      <text>
        <r>
          <rPr>
            <b/>
            <sz val="10"/>
            <color indexed="81"/>
            <rFont val="Calibri"/>
            <family val="2"/>
          </rPr>
          <t xml:space="preserve">Microsoft Office User:
Foldedi into I&amp;G
</t>
        </r>
      </text>
    </comment>
    <comment ref="H84" authorId="0" shapeId="0">
      <text>
        <r>
          <rPr>
            <b/>
            <sz val="10"/>
            <color indexed="81"/>
            <rFont val="Calibri"/>
            <family val="2"/>
          </rPr>
          <t xml:space="preserve">. Rommel: Documentation for Morrisey Performance Center not received - no rec
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N84" authorId="0" shapeId="0">
      <text>
        <r>
          <rPr>
            <b/>
            <sz val="10"/>
            <color indexed="81"/>
            <rFont val="Calibri"/>
            <family val="2"/>
          </rPr>
          <t xml:space="preserve">. Rommel: Documentation for Morrisey Performance Center not received - no rec
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119" authorId="1" shapeId="0">
      <text>
        <r>
          <rPr>
            <b/>
            <sz val="9"/>
            <color indexed="81"/>
            <rFont val="Tahoma"/>
            <family val="2"/>
          </rPr>
          <t>Harrison Rommel:</t>
        </r>
        <r>
          <rPr>
            <sz val="9"/>
            <color indexed="81"/>
            <rFont val="Tahoma"/>
            <family val="2"/>
          </rPr>
          <t xml:space="preserve">
Corrected 12-11
</t>
        </r>
      </text>
    </comment>
    <comment ref="D129" authorId="1" shapeId="0">
      <text>
        <r>
          <rPr>
            <b/>
            <sz val="9"/>
            <color indexed="81"/>
            <rFont val="Tahoma"/>
            <family val="2"/>
          </rPr>
          <t>Harrison Rommel:</t>
        </r>
        <r>
          <rPr>
            <sz val="9"/>
            <color indexed="81"/>
            <rFont val="Tahoma"/>
            <family val="2"/>
          </rPr>
          <t xml:space="preserve">
includes hh+
</t>
        </r>
      </text>
    </comment>
    <comment ref="H134" authorId="2" shapeId="0">
      <text>
        <r>
          <rPr>
            <b/>
            <sz val="9"/>
            <color indexed="81"/>
            <rFont val="Tahoma"/>
            <family val="2"/>
          </rPr>
          <t>Clayton Lobaugh:</t>
        </r>
        <r>
          <rPr>
            <sz val="9"/>
            <color indexed="81"/>
            <rFont val="Tahoma"/>
            <family val="2"/>
          </rPr>
          <t xml:space="preserve">
cut hard coded to match DFA</t>
        </r>
      </text>
    </comment>
    <comment ref="N134" authorId="2" shapeId="0">
      <text>
        <r>
          <rPr>
            <b/>
            <sz val="9"/>
            <color indexed="81"/>
            <rFont val="Tahoma"/>
            <family val="2"/>
          </rPr>
          <t>Clayton Lobaugh:</t>
        </r>
        <r>
          <rPr>
            <sz val="9"/>
            <color indexed="81"/>
            <rFont val="Tahoma"/>
            <family val="2"/>
          </rPr>
          <t xml:space="preserve">
cut hard coded to match DFA</t>
        </r>
      </text>
    </comment>
    <comment ref="I150" authorId="2" shapeId="0">
      <text>
        <r>
          <rPr>
            <b/>
            <sz val="9"/>
            <color indexed="81"/>
            <rFont val="Tahoma"/>
            <family val="2"/>
          </rPr>
          <t>Clayton Lobaugh:</t>
        </r>
        <r>
          <rPr>
            <sz val="9"/>
            <color indexed="81"/>
            <rFont val="Tahoma"/>
            <family val="2"/>
          </rPr>
          <t xml:space="preserve">
Folds clean water RPSP into Water Resource Research RPSP per NMSU request.</t>
        </r>
      </text>
    </comment>
    <comment ref="L150" authorId="2" shapeId="0">
      <text>
        <r>
          <rPr>
            <b/>
            <sz val="9"/>
            <color indexed="81"/>
            <rFont val="Tahoma"/>
            <family val="2"/>
          </rPr>
          <t>Clayton Lobaugh:</t>
        </r>
        <r>
          <rPr>
            <sz val="9"/>
            <color indexed="81"/>
            <rFont val="Tahoma"/>
            <family val="2"/>
          </rPr>
          <t xml:space="preserve">
Folds clean water RPSP into Water Resource Research RPSP per NMSU request.</t>
        </r>
      </text>
    </comment>
    <comment ref="D189" authorId="1" shapeId="0">
      <text>
        <r>
          <rPr>
            <b/>
            <sz val="9"/>
            <color indexed="81"/>
            <rFont val="Tahoma"/>
            <family val="2"/>
          </rPr>
          <t>Harrison Rommel:</t>
        </r>
        <r>
          <rPr>
            <sz val="9"/>
            <color indexed="81"/>
            <rFont val="Tahoma"/>
            <family val="2"/>
          </rPr>
          <t xml:space="preserve">
6.2 HH+
</t>
        </r>
      </text>
    </comment>
    <comment ref="B197" authorId="3" shapeId="0">
      <text>
        <r>
          <rPr>
            <b/>
            <sz val="9"/>
            <color indexed="81"/>
            <rFont val="Tahoma"/>
            <family val="2"/>
          </rPr>
          <t>Ron Spilman:</t>
        </r>
        <r>
          <rPr>
            <sz val="9"/>
            <color indexed="81"/>
            <rFont val="Tahoma"/>
            <family val="2"/>
          </rPr>
          <t xml:space="preserve">
Leg add</t>
        </r>
      </text>
    </comment>
  </commentList>
</comments>
</file>

<file path=xl/comments2.xml><?xml version="1.0" encoding="utf-8"?>
<comments xmlns="http://schemas.openxmlformats.org/spreadsheetml/2006/main">
  <authors>
    <author>Clayton Lobaugh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</rPr>
          <t>Clayton Lobaugh:</t>
        </r>
        <r>
          <rPr>
            <sz val="9"/>
            <color indexed="81"/>
            <rFont val="Tahoma"/>
            <family val="2"/>
          </rPr>
          <t xml:space="preserve">
Reduced $500 dollars to solve rounding issue in order to match the FY18 1% reduction for higher education GF total. CNM was informed on 01-18-2017.</t>
        </r>
      </text>
    </comment>
  </commentList>
</comments>
</file>

<file path=xl/sharedStrings.xml><?xml version="1.0" encoding="utf-8"?>
<sst xmlns="http://schemas.openxmlformats.org/spreadsheetml/2006/main" count="452" uniqueCount="323">
  <si>
    <r>
      <t xml:space="preserve">Institution / Program 
</t>
    </r>
    <r>
      <rPr>
        <sz val="11"/>
        <rFont val="Arial"/>
        <family val="2"/>
      </rPr>
      <t>(detail listed primarily in HB2 order, numbers in 000s)</t>
    </r>
  </si>
  <si>
    <t>FY16 Pre 16HB2 - Does not include 0.6% rollback</t>
  </si>
  <si>
    <t>0.6% rollback FY16 Law 2016 Chapter 11</t>
  </si>
  <si>
    <t>% Change from FY16 INITIAL</t>
  </si>
  <si>
    <r>
      <t>SUMMARY BY INSTITUTION</t>
    </r>
    <r>
      <rPr>
        <sz val="10"/>
        <color indexed="8"/>
        <rFont val="Arial"/>
        <family val="2"/>
      </rPr>
      <t xml:space="preserve">  (DFA Code)</t>
    </r>
  </si>
  <si>
    <t>New Mexico Institute of Mining &amp; Technology (962)</t>
  </si>
  <si>
    <t>New Mexico State University (954)</t>
  </si>
  <si>
    <t>University of New Mexico (952)</t>
  </si>
  <si>
    <t>UNM Health Sciences Center (952)</t>
  </si>
  <si>
    <t>Eastern New Mexico University (960)</t>
  </si>
  <si>
    <t>New Mexico Highlands University (956)</t>
  </si>
  <si>
    <t>Northern New Mexico College (964)</t>
  </si>
  <si>
    <t>Western New Mexico University (958)</t>
  </si>
  <si>
    <t>Central NM Community College (968)</t>
  </si>
  <si>
    <t>Clovis Community College (977)</t>
  </si>
  <si>
    <t>Luna Community College (970)</t>
  </si>
  <si>
    <t>Mesalands Community College (972)</t>
  </si>
  <si>
    <t>New Mexico Junior College (974)</t>
  </si>
  <si>
    <t>San Juan College (976)</t>
  </si>
  <si>
    <t>Santa Fe Community College (966)</t>
  </si>
  <si>
    <t xml:space="preserve">   Subtotal - Universities and Community Colleges</t>
  </si>
  <si>
    <t>New Mexico Military Institute (978)</t>
  </si>
  <si>
    <t>New Mexico School for the Deaf (980)</t>
  </si>
  <si>
    <t>NM School for the Blind &amp; Visually Impaired (979)</t>
  </si>
  <si>
    <t xml:space="preserve">   Subtotal - Special Schools</t>
  </si>
  <si>
    <t>New Mexico Higher Education Department (950)</t>
  </si>
  <si>
    <t>TOTAL GENERAL FUND</t>
  </si>
  <si>
    <t>SUMMARY BY MAJOR FUNCTION</t>
  </si>
  <si>
    <t>University I&amp;G (NNMC included eff. FY08)</t>
  </si>
  <si>
    <t>Community College I&amp;G</t>
  </si>
  <si>
    <t>UNM/HSC I&amp;G</t>
  </si>
  <si>
    <t>Special schools (excl athletics)</t>
  </si>
  <si>
    <t>Nursing programs</t>
  </si>
  <si>
    <t>Dental programs (incl residencies)</t>
  </si>
  <si>
    <t>Athletics</t>
  </si>
  <si>
    <t>Educational Television</t>
  </si>
  <si>
    <t>NMHED - Oper/flow-thru's, excl nurs/dental/athl</t>
  </si>
  <si>
    <t>NMHED - Student financial aid</t>
  </si>
  <si>
    <t>Other programs</t>
  </si>
  <si>
    <t>HIGHER EDUCATION DEPARTMENT:</t>
  </si>
  <si>
    <t>HB2, Section 4 (recurring) appropriations to NMHED's P505 and P506 are lump sum.</t>
  </si>
  <si>
    <t>(1) Policy Dev &amp; Instit Financial Oversight (P505)</t>
  </si>
  <si>
    <t>IDEAL-NM</t>
  </si>
  <si>
    <t>High Skills - restored to ~FY15 level</t>
  </si>
  <si>
    <t>Program Development Enhancement Fund (PDEF)</t>
  </si>
  <si>
    <t>MESA pass through to NMIMT</t>
  </si>
  <si>
    <t>ELL Teacher</t>
  </si>
  <si>
    <t xml:space="preserve">   Subtotal Policy Dev &amp; Instit Financial Oversight</t>
  </si>
  <si>
    <t>(2) Student Financial Aid (P506)</t>
  </si>
  <si>
    <t>All other financial aid programs</t>
  </si>
  <si>
    <t xml:space="preserve">   Subtotal Student Financial Aid</t>
  </si>
  <si>
    <t>Total NMHED</t>
  </si>
  <si>
    <t>UNIVERSITY OF NEW MEXICO</t>
  </si>
  <si>
    <r>
      <t>Main Campus</t>
    </r>
    <r>
      <rPr>
        <sz val="10"/>
        <rFont val="Arial"/>
        <family val="2"/>
      </rPr>
      <t xml:space="preserve"> - Instruction and General</t>
    </r>
  </si>
  <si>
    <t>Educational television</t>
  </si>
  <si>
    <r>
      <t>Gallup Branch</t>
    </r>
    <r>
      <rPr>
        <sz val="10"/>
        <rFont val="Arial"/>
        <family val="2"/>
      </rPr>
      <t xml:space="preserve"> - I&amp;G</t>
    </r>
  </si>
  <si>
    <t>Gallup - nurse expansion</t>
  </si>
  <si>
    <r>
      <t>Los Alamos Branch</t>
    </r>
    <r>
      <rPr>
        <sz val="10"/>
        <rFont val="Arial"/>
        <family val="2"/>
      </rPr>
      <t xml:space="preserve"> - I&amp;G</t>
    </r>
  </si>
  <si>
    <r>
      <t>Valencia Branch</t>
    </r>
    <r>
      <rPr>
        <sz val="10"/>
        <rFont val="Arial"/>
        <family val="2"/>
      </rPr>
      <t xml:space="preserve"> - I&amp;G</t>
    </r>
  </si>
  <si>
    <t>Valencia - nurse expansion</t>
  </si>
  <si>
    <r>
      <t>Taos Branch</t>
    </r>
    <r>
      <rPr>
        <sz val="10"/>
        <rFont val="Arial"/>
        <family val="2"/>
      </rPr>
      <t xml:space="preserve"> - I&amp;G</t>
    </r>
  </si>
  <si>
    <t>Taos - nurse expansion</t>
  </si>
  <si>
    <t>Research &amp; Public Service Projects:</t>
  </si>
  <si>
    <t>Special projects expansion and flexibility</t>
  </si>
  <si>
    <t xml:space="preserve">Judicial selection </t>
  </si>
  <si>
    <t>SW Research Ctr (incl Ctr Reg Stud + Span Col RC)</t>
  </si>
  <si>
    <t>Substance abuse program</t>
  </si>
  <si>
    <t>Resource geographic information system</t>
  </si>
  <si>
    <t>Southwest Indian Law Clinic</t>
  </si>
  <si>
    <t>BBER Census and population analysis</t>
  </si>
  <si>
    <t>New Mexico Historical Review</t>
  </si>
  <si>
    <t>Ibero-American Education</t>
  </si>
  <si>
    <t>Manufacturing engineering program</t>
  </si>
  <si>
    <t>Wildlife law education</t>
  </si>
  <si>
    <t>Morrissey Hall programs</t>
  </si>
  <si>
    <t>Disabled student services</t>
  </si>
  <si>
    <t>Minority graduate recruitment and retention</t>
  </si>
  <si>
    <t>Community based educ (aka family dev program)</t>
  </si>
  <si>
    <t>Corrine Wolfe Children's Law Center</t>
  </si>
  <si>
    <t>Utton Transboundary Resources Ctr (School of Law)</t>
  </si>
  <si>
    <t>Student mentoring program</t>
  </si>
  <si>
    <t>Athlete Brain Safe</t>
  </si>
  <si>
    <t>Small business innovation &amp; research outreach TVC</t>
  </si>
  <si>
    <t>Land grant studies</t>
  </si>
  <si>
    <t>Degree Mapping</t>
  </si>
  <si>
    <t>Total UNM</t>
  </si>
  <si>
    <t>UNM HEALTH SCIENCES CENTER</t>
  </si>
  <si>
    <t>Office of Medical Investigator</t>
  </si>
  <si>
    <t>Native American Health Center</t>
  </si>
  <si>
    <t>Native American Suicide Prevention</t>
  </si>
  <si>
    <t>Children's Psychiatric Hospital</t>
  </si>
  <si>
    <t>Carrie Tingley Hospital</t>
  </si>
  <si>
    <t>Newborn intensive care</t>
  </si>
  <si>
    <t>Pediatric oncology</t>
  </si>
  <si>
    <t>Poison Control Center</t>
  </si>
  <si>
    <t xml:space="preserve">Cancer Center </t>
  </si>
  <si>
    <t>Hepatitis community health outcomes (Project ECHO)</t>
  </si>
  <si>
    <t>UNM/HSC nurse expansion</t>
  </si>
  <si>
    <t>Graduate Nurse Practitioner Education</t>
  </si>
  <si>
    <t>Psychiatry Residencies</t>
  </si>
  <si>
    <t>General Surgery Residencies</t>
  </si>
  <si>
    <t>Total UNM/HSC</t>
  </si>
  <si>
    <t>Total UNM and UNM/HSC</t>
  </si>
  <si>
    <t>NEW MEXICO STATE UNIVERSITY</t>
  </si>
  <si>
    <t>Educational television (KRWG)</t>
  </si>
  <si>
    <r>
      <t xml:space="preserve">Alamogordo Branch </t>
    </r>
    <r>
      <rPr>
        <sz val="10"/>
        <rFont val="Arial"/>
        <family val="2"/>
      </rPr>
      <t>- I&amp;G</t>
    </r>
  </si>
  <si>
    <t>Alamogordo - nurse expansion</t>
  </si>
  <si>
    <r>
      <t>Carlsbad Branch</t>
    </r>
    <r>
      <rPr>
        <sz val="10"/>
        <rFont val="Arial"/>
        <family val="2"/>
      </rPr>
      <t xml:space="preserve"> - I&amp;G</t>
    </r>
  </si>
  <si>
    <t>Carlsbad manufacturing sector dev program</t>
  </si>
  <si>
    <t>Carlsbad - nurse expansion</t>
  </si>
  <si>
    <r>
      <t>Dona Ana Branch</t>
    </r>
    <r>
      <rPr>
        <sz val="10"/>
        <rFont val="Arial"/>
        <family val="2"/>
      </rPr>
      <t xml:space="preserve"> - I&amp;G</t>
    </r>
  </si>
  <si>
    <t>Dona Ana - dental hygiene program</t>
  </si>
  <si>
    <t>Dona Ana - nurse expansion</t>
  </si>
  <si>
    <r>
      <t>Grants Branch</t>
    </r>
    <r>
      <rPr>
        <sz val="10"/>
        <rFont val="Arial"/>
        <family val="2"/>
      </rPr>
      <t xml:space="preserve"> - I&amp;G</t>
    </r>
  </si>
  <si>
    <t>Department of Agriculture</t>
  </si>
  <si>
    <t>Section 13 DoAg Recurring - School Lunch Fruits/Veggies</t>
  </si>
  <si>
    <t>Agricultural Experiment Station (AES)</t>
  </si>
  <si>
    <t>Cooperative Extension Service (CES)</t>
  </si>
  <si>
    <t>STEM Alliance for Minority participation</t>
  </si>
  <si>
    <t>Mental health nurse practitioner</t>
  </si>
  <si>
    <t>Water resource research</t>
  </si>
  <si>
    <t>Indian resources development</t>
  </si>
  <si>
    <t>NMSU manufacturing sector dev program</t>
  </si>
  <si>
    <t>Arrowhead Center for Business Development</t>
  </si>
  <si>
    <t>NMSU nurse expansion</t>
  </si>
  <si>
    <t>Economic Development Doctorate Program (leg add)</t>
  </si>
  <si>
    <t xml:space="preserve">Alliance teaching &amp; learning advancement </t>
  </si>
  <si>
    <t>College Assistance Migrant Prgm (CAMP)</t>
  </si>
  <si>
    <t>Clean Drinking Water Tech.</t>
  </si>
  <si>
    <t>Sunspot and Solar Observatory - New RPSP</t>
  </si>
  <si>
    <t>Los Luceros</t>
  </si>
  <si>
    <t>Total NMSU</t>
  </si>
  <si>
    <t>NEW MEXICO HIGHLANDS UNIVERSITY</t>
  </si>
  <si>
    <t>Instruction and General</t>
  </si>
  <si>
    <t>Athletics (incl wrestling and rodeo)</t>
  </si>
  <si>
    <t>Advanced Placement</t>
  </si>
  <si>
    <t>Spanish program ---&gt; Minority Student Services</t>
  </si>
  <si>
    <t>Forest and Watershed Institute</t>
  </si>
  <si>
    <t>Nursing Program Expansion</t>
  </si>
  <si>
    <t>Total NMHU</t>
  </si>
  <si>
    <t>WESTERN NEW MEXICO UNIVERSITY</t>
  </si>
  <si>
    <t xml:space="preserve">Instructional television </t>
  </si>
  <si>
    <t>Pharmacy and Phlebotomy Program</t>
  </si>
  <si>
    <t>Web-based teacher licensure</t>
  </si>
  <si>
    <t>Child Development Center</t>
  </si>
  <si>
    <t>WNMU nurse expansion</t>
  </si>
  <si>
    <t>Service Learning</t>
  </si>
  <si>
    <t>Total WNMU</t>
  </si>
  <si>
    <t>EASTERN NEW MEXICO UNIVERSITY</t>
  </si>
  <si>
    <t>Educational television (KENW)</t>
  </si>
  <si>
    <r>
      <t>Roswell Branch</t>
    </r>
    <r>
      <rPr>
        <sz val="10"/>
        <rFont val="Arial"/>
        <family val="2"/>
      </rPr>
      <t xml:space="preserve"> - I&amp;G</t>
    </r>
  </si>
  <si>
    <t>Space Available</t>
  </si>
  <si>
    <t>Special Services Program Expansion</t>
  </si>
  <si>
    <t>Roswell - nurse expansion</t>
  </si>
  <si>
    <t xml:space="preserve">Airframe mechanics </t>
  </si>
  <si>
    <r>
      <t>Ruidoso Branch</t>
    </r>
    <r>
      <rPr>
        <sz val="10"/>
        <rFont val="Arial"/>
        <family val="2"/>
      </rPr>
      <t xml:space="preserve"> - I&amp;G</t>
    </r>
  </si>
  <si>
    <t>Ruidoso - ABE</t>
  </si>
  <si>
    <t>Blackwater Draw site and museum</t>
  </si>
  <si>
    <t>Student success programs</t>
  </si>
  <si>
    <t>Masters of Science Nursing</t>
  </si>
  <si>
    <t>At-risk student tutoring</t>
  </si>
  <si>
    <t>Special projects expansion:  allied health speech and hearing</t>
  </si>
  <si>
    <t>Youth Robotic Competition FY15 Leg Add</t>
  </si>
  <si>
    <t>Dental Hygiene Program (ENMU Roswell)</t>
  </si>
  <si>
    <r>
      <t xml:space="preserve">Airframe mechanics - </t>
    </r>
    <r>
      <rPr>
        <b/>
        <sz val="10"/>
        <rFont val="Arial"/>
        <family val="2"/>
      </rPr>
      <t>Moved to Roswell</t>
    </r>
  </si>
  <si>
    <t>Total ENMU</t>
  </si>
  <si>
    <t>NEW MEXICO INSTITUTE OF MINING &amp; TECHNOLOGY</t>
  </si>
  <si>
    <t>Bureau of Mines inspection / safety</t>
  </si>
  <si>
    <t>Bureau of Mines (aka Geology &amp; Mineral Resources)</t>
  </si>
  <si>
    <r>
      <t>Petroleum Recovery Research Center</t>
    </r>
    <r>
      <rPr>
        <sz val="9"/>
        <rFont val="Arial"/>
        <family val="2"/>
      </rPr>
      <t xml:space="preserve"> </t>
    </r>
  </si>
  <si>
    <t xml:space="preserve">Geophysical Research Center </t>
  </si>
  <si>
    <t>Energetic Materials Research Center (EMRTC)</t>
  </si>
  <si>
    <t>Science &amp; Engineering Fair (incl Olympiad)</t>
  </si>
  <si>
    <t>Institute for Complex Additive Systems Analysis</t>
  </si>
  <si>
    <r>
      <t>Cave and karst research (nat'l institute)</t>
    </r>
    <r>
      <rPr>
        <sz val="9"/>
        <rFont val="Arial"/>
        <family val="2"/>
      </rPr>
      <t xml:space="preserve"> </t>
    </r>
  </si>
  <si>
    <t>Homeland Security Center</t>
  </si>
  <si>
    <t>Aerospace Engineering</t>
  </si>
  <si>
    <t>Supercomputing Challenge Leg. Add</t>
  </si>
  <si>
    <t>Total NMIMT</t>
  </si>
  <si>
    <t>NORTHERN NEW MEXICO COLLEGE</t>
  </si>
  <si>
    <t>Health science &amp; nursing program (Nurse Expansion)</t>
  </si>
  <si>
    <t>Science, Technology, Engineering and Math Initiative pass through</t>
  </si>
  <si>
    <t xml:space="preserve">Veterans Center </t>
  </si>
  <si>
    <t>Northern Pueblos Institute (Eight)</t>
  </si>
  <si>
    <t>Faculty salary adjustments</t>
  </si>
  <si>
    <t>Special proj expansion ---&gt; Teacher ed expansion</t>
  </si>
  <si>
    <t>Total NNMC</t>
  </si>
  <si>
    <t>SANTA FE COMMUNITY COLLEGE</t>
  </si>
  <si>
    <t>Automotive Technology</t>
  </si>
  <si>
    <t>Small Business Development Centers</t>
  </si>
  <si>
    <t>SFCC nurse expansion</t>
  </si>
  <si>
    <t>Radiography</t>
  </si>
  <si>
    <t>Hospitality</t>
  </si>
  <si>
    <t>Total SFCC</t>
  </si>
  <si>
    <t>CENTRAL NM COMMUNITY COLLEGE</t>
  </si>
  <si>
    <t>RPSP: Tax Help New Mexico</t>
  </si>
  <si>
    <t>Total CNM</t>
  </si>
  <si>
    <t>LUNA COMMUNITY COLLEGE</t>
  </si>
  <si>
    <t>LCC nurse expansion</t>
  </si>
  <si>
    <t>Student service + economic development prgm</t>
  </si>
  <si>
    <t>Total LCC</t>
  </si>
  <si>
    <t>MESALANDS COMMUNITY COLLEGE</t>
  </si>
  <si>
    <t>Dinosaur Museum and Natural Sciences Lab asset preservation</t>
  </si>
  <si>
    <t>Total MCC</t>
  </si>
  <si>
    <t>NEW MEXICO JUNIOR COLLEGE</t>
  </si>
  <si>
    <t>Oil &amp; gas training center</t>
  </si>
  <si>
    <t>NMJC nurse expansion</t>
  </si>
  <si>
    <t>Lea County distance education consortium</t>
  </si>
  <si>
    <t>Total NMJC</t>
  </si>
  <si>
    <t>SAN JUAN COLLEGE</t>
  </si>
  <si>
    <t>Dental hygiene program</t>
  </si>
  <si>
    <t>SJC nurse expansion</t>
  </si>
  <si>
    <t>Total SJC</t>
  </si>
  <si>
    <t>CLOVIS COMMUNITY COLLEGE</t>
  </si>
  <si>
    <t>CCC nurse expansion</t>
  </si>
  <si>
    <t>Total CCC</t>
  </si>
  <si>
    <t>NEW MEXICO MILITARY INSTITUTE</t>
  </si>
  <si>
    <t>General R.T. Knowles legislative scholarship</t>
  </si>
  <si>
    <t>Total NMMI</t>
  </si>
  <si>
    <t>NM SCHOOL FOR BLIND &amp; VISUALLY IMPAIRED</t>
  </si>
  <si>
    <t>Early childhood center</t>
  </si>
  <si>
    <t>Low vision clinic programs</t>
  </si>
  <si>
    <t>Total NMSBVI</t>
  </si>
  <si>
    <t>NM SCHOOL FOR THE DEAF</t>
  </si>
  <si>
    <t>Statewide outreach services</t>
  </si>
  <si>
    <t>Total NMSD</t>
  </si>
  <si>
    <t>Placeholder for pass-through RPSP</t>
  </si>
  <si>
    <t>Internal Medicine Residencies</t>
  </si>
  <si>
    <t>Grand Total Universities and Special Schools</t>
  </si>
  <si>
    <t>FY18 General Fund Summary HED Recommendation</t>
  </si>
  <si>
    <t/>
  </si>
  <si>
    <t xml:space="preserve">Nurse Expansion </t>
  </si>
  <si>
    <r>
      <t>UNM/HSC Medical School I&amp;G</t>
    </r>
    <r>
      <rPr>
        <b/>
        <sz val="9"/>
        <rFont val="Arial"/>
        <family val="2"/>
      </rPr>
      <t xml:space="preserve"> (incl BA/MD program)</t>
    </r>
  </si>
  <si>
    <t xml:space="preserve">STEP 6 - Where all the separate components of the FY18 funding formula are added together in order to make the final state I&amp;G funding recommendation for FY17. </t>
  </si>
  <si>
    <t xml:space="preserve">Total I&amp;G Funding </t>
  </si>
  <si>
    <t>Fold Certain RPSPs into I&amp;G. Turn On (1) or Off (0)</t>
  </si>
  <si>
    <t>Total FY18 Funding After RPSP Roll Up</t>
  </si>
  <si>
    <t>Institution</t>
  </si>
  <si>
    <t>Fold RPSPs into I&amp;G</t>
  </si>
  <si>
    <t xml:space="preserve">Grand Total </t>
  </si>
  <si>
    <t>New Mexico Institute of Mining and Technology</t>
  </si>
  <si>
    <t>New Mexico State University</t>
  </si>
  <si>
    <t>University of New Mexico</t>
  </si>
  <si>
    <t>Research University Total</t>
  </si>
  <si>
    <t>Eastern New Mexico University</t>
  </si>
  <si>
    <t>New Mexico Highlands University</t>
  </si>
  <si>
    <t xml:space="preserve">Northern New Mexico College </t>
  </si>
  <si>
    <t xml:space="preserve">Western New Mexico University </t>
  </si>
  <si>
    <t>Comprehensive University Total</t>
  </si>
  <si>
    <t>Eastern New Mexico University-Roswell</t>
  </si>
  <si>
    <t>Eastern New Mexico University-Ruidoso</t>
  </si>
  <si>
    <t xml:space="preserve">New Mexico State University-Alamogordo </t>
  </si>
  <si>
    <t xml:space="preserve">New Mexico State University-Carlsbad </t>
  </si>
  <si>
    <t xml:space="preserve">New Mexico State University-Dona Ana </t>
  </si>
  <si>
    <t xml:space="preserve">New Mexico State University-Grants </t>
  </si>
  <si>
    <t>University of New Mexico-Gallup</t>
  </si>
  <si>
    <t>University of New Mexico-Los Alamos</t>
  </si>
  <si>
    <t>University of New Mexico-Taos</t>
  </si>
  <si>
    <t>University of New Mexico-Valencia</t>
  </si>
  <si>
    <t xml:space="preserve">Central New Mexico Community College </t>
  </si>
  <si>
    <t>Clovis Community College</t>
  </si>
  <si>
    <t xml:space="preserve">Luna Community College </t>
  </si>
  <si>
    <t xml:space="preserve">Mesalands Community College </t>
  </si>
  <si>
    <t xml:space="preserve">New Mexico Junior College </t>
  </si>
  <si>
    <t xml:space="preserve">San Juan College </t>
  </si>
  <si>
    <t xml:space="preserve">Santa Fe Community College </t>
  </si>
  <si>
    <t>Community College Total</t>
  </si>
  <si>
    <t>Operations - tbd adjustments</t>
  </si>
  <si>
    <t>North American Wind Training Center</t>
  </si>
  <si>
    <t>Rounded FY18 Funding After RPSP Roll Up into I&amp;G</t>
  </si>
  <si>
    <t>Adult Literacy (New)</t>
  </si>
  <si>
    <t xml:space="preserve">Operations - FY18 </t>
  </si>
  <si>
    <t xml:space="preserve">ENLACE  pass through to UNM </t>
  </si>
  <si>
    <t>Displaced worker</t>
  </si>
  <si>
    <t>HED cut = 5.5%</t>
  </si>
  <si>
    <t xml:space="preserve">Tribal College Dual Credit (excludes 50K in PED from OSF) </t>
  </si>
  <si>
    <t xml:space="preserve">FY17 Special Session Change 5% Cut </t>
  </si>
  <si>
    <t>FY17 HB2 FINAL</t>
  </si>
  <si>
    <t>Revised FY18 Exec Rec (1-17-17) NO RPSP Rollup</t>
  </si>
  <si>
    <t>Revised FY18 Exec Rec (1-17-17) WITH RPSP Rollup</t>
  </si>
  <si>
    <t>-</t>
  </si>
  <si>
    <t>Revised FY18 Exec Rec (1-17-17) NO RPSP Rollup from FY17 Adjusted</t>
  </si>
  <si>
    <t>Revised FY18 Exec Rec (1-17-17) WITH RPSP Rollup from FY17 Adjusted</t>
  </si>
  <si>
    <t>RPSP</t>
  </si>
  <si>
    <t>I&amp;G</t>
  </si>
  <si>
    <t>FY17 Special Session Approp. 5% Cut -  Does not include 367.9 HH+ Special</t>
  </si>
  <si>
    <t>FY17 Post Special Session</t>
  </si>
  <si>
    <t>FY16 HB2</t>
  </si>
  <si>
    <t>TOTAL</t>
  </si>
  <si>
    <t>RPSP folded into I&amp;G</t>
  </si>
  <si>
    <t>FY18 Exec Rec.</t>
  </si>
  <si>
    <t>HED (Flow Through and Operations)</t>
  </si>
  <si>
    <t>RPSPs</t>
  </si>
  <si>
    <t>RPSPs folded into I&amp;G</t>
  </si>
  <si>
    <t>Difference</t>
  </si>
  <si>
    <t>FY16 (HB2)</t>
  </si>
  <si>
    <t>FY17 (Post Special Session)</t>
  </si>
  <si>
    <t>Research &amp; Public Service Projects (RPSPs)</t>
  </si>
  <si>
    <t>Instruction &amp; General (I&amp;G)</t>
  </si>
  <si>
    <t>LFC Rec No RPSP Rollup</t>
  </si>
  <si>
    <t>LFC Rec WITH RPSP Roll Up</t>
  </si>
  <si>
    <t>R1 Submissions</t>
  </si>
  <si>
    <t>FY18 Request</t>
  </si>
  <si>
    <t>FY18 LFC Rec.</t>
  </si>
  <si>
    <t>HB2 HAFC Sub</t>
  </si>
  <si>
    <t>RPSPs Recommended for folding are highlighted in ORANGE</t>
  </si>
  <si>
    <t>Check HB2 ^</t>
  </si>
  <si>
    <t>CUT RPSP</t>
  </si>
  <si>
    <t>CUT I&amp;G</t>
  </si>
  <si>
    <t>CUT Special School</t>
  </si>
  <si>
    <t xml:space="preserve">                                      I&amp;G Funding                  </t>
  </si>
  <si>
    <t>Change in I&amp;G Funding from FY17 Adjusted Budget</t>
  </si>
  <si>
    <t>Proportion of Total I&amp;G Funding</t>
  </si>
  <si>
    <t>CUT HED</t>
  </si>
  <si>
    <t>Parameterization</t>
  </si>
  <si>
    <t>Adult Education (AE)</t>
  </si>
  <si>
    <t>% Diff HAFC -SFC</t>
  </si>
  <si>
    <t>$ Diff HAFC - SFC</t>
  </si>
  <si>
    <t xml:space="preserve"> FY17 I&amp;G Appropriations do not include "Hold Harmless+" appropriated to HED</t>
  </si>
  <si>
    <t>SFC Cut/Add from HAFC</t>
  </si>
  <si>
    <t>FY18 GAA</t>
  </si>
  <si>
    <t>SFC - adds 50. to ECHO and LAWS 2017</t>
  </si>
  <si>
    <t>LAWS 2017 Final Approp. Post special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</si>
</sst>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#,##0.0"/>
    <numFmt numFmtId="167" formatCode="&quot;$&quot;#,##0"/>
    <numFmt numFmtId="168" formatCode="_(* #,##0.0_);_(* \(#,##0.0\);_(* &quot;-&quot;??_);_(@_)"/>
    <numFmt numFmtId="169" formatCode="&quot;$&quot;#,##0.00"/>
    <numFmt numFmtId="170" formatCode="0.000%"/>
    <numFmt numFmtId="171" formatCode="_(&quot;$&quot;* #,##0.0_);_(&quot;$&quot;* \(#,##0.0\);_(&quot;$&quot;* &quot;-&quot;??_);_(@_)"/>
    <numFmt numFmtId="172" formatCode="_(&quot;$&quot;* #,##0.0_);_(&quot;$&quot;* \(#,##0.0\);_(&quot;$&quot;* &quot;-&quot;?_);_(@_)"/>
    <numFmt numFmtId="173" formatCode="0.0000%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Palatino Linotype"/>
      <family val="1"/>
    </font>
    <font>
      <b/>
      <sz val="12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sz val="10"/>
      <color rgb="FFFF0000"/>
      <name val="Arial"/>
      <family val="2"/>
    </font>
    <font>
      <sz val="10"/>
      <name val="Helv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81">
    <xf numFmtId="0" fontId="0" fillId="0" borderId="0" xfId="0"/>
    <xf numFmtId="164" fontId="3" fillId="0" borderId="5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/>
    <xf numFmtId="165" fontId="3" fillId="0" borderId="4" xfId="2" applyNumberFormat="1" applyFont="1" applyFill="1" applyBorder="1" applyAlignment="1" applyProtection="1"/>
    <xf numFmtId="165" fontId="3" fillId="0" borderId="6" xfId="2" applyNumberFormat="1" applyFont="1" applyFill="1" applyBorder="1" applyAlignment="1" applyProtection="1"/>
    <xf numFmtId="165" fontId="3" fillId="0" borderId="11" xfId="2" applyNumberFormat="1" applyFont="1" applyFill="1" applyBorder="1" applyAlignment="1" applyProtection="1"/>
    <xf numFmtId="165" fontId="8" fillId="0" borderId="8" xfId="2" applyNumberFormat="1" applyFont="1" applyFill="1" applyBorder="1" applyAlignment="1" applyProtection="1"/>
    <xf numFmtId="165" fontId="3" fillId="0" borderId="4" xfId="0" applyNumberFormat="1" applyFont="1" applyFill="1" applyBorder="1" applyAlignment="1" applyProtection="1"/>
    <xf numFmtId="165" fontId="8" fillId="0" borderId="10" xfId="2" applyNumberFormat="1" applyFont="1" applyFill="1" applyBorder="1" applyAlignment="1" applyProtection="1"/>
    <xf numFmtId="165" fontId="8" fillId="0" borderId="4" xfId="0" applyNumberFormat="1" applyFont="1" applyFill="1" applyBorder="1" applyAlignment="1" applyProtection="1"/>
    <xf numFmtId="165" fontId="0" fillId="0" borderId="0" xfId="0" applyNumberFormat="1"/>
    <xf numFmtId="166" fontId="2" fillId="0" borderId="1" xfId="0" applyNumberFormat="1" applyFont="1" applyFill="1" applyBorder="1" applyAlignment="1" applyProtection="1"/>
    <xf numFmtId="166" fontId="0" fillId="0" borderId="0" xfId="0" applyNumberFormat="1"/>
    <xf numFmtId="166" fontId="3" fillId="0" borderId="2" xfId="0" applyNumberFormat="1" applyFont="1" applyFill="1" applyBorder="1" applyAlignment="1" applyProtection="1"/>
    <xf numFmtId="166" fontId="3" fillId="0" borderId="6" xfId="0" applyNumberFormat="1" applyFont="1" applyFill="1" applyBorder="1" applyAlignment="1" applyProtection="1"/>
    <xf numFmtId="166" fontId="8" fillId="0" borderId="13" xfId="0" applyNumberFormat="1" applyFont="1" applyFill="1" applyBorder="1" applyAlignment="1" applyProtection="1"/>
    <xf numFmtId="166" fontId="3" fillId="0" borderId="4" xfId="0" applyNumberFormat="1" applyFont="1" applyFill="1" applyBorder="1" applyAlignment="1" applyProtection="1"/>
    <xf numFmtId="166" fontId="8" fillId="0" borderId="8" xfId="0" applyNumberFormat="1" applyFont="1" applyFill="1" applyBorder="1" applyAlignment="1" applyProtection="1"/>
    <xf numFmtId="166" fontId="8" fillId="0" borderId="10" xfId="0" applyNumberFormat="1" applyFont="1" applyFill="1" applyBorder="1" applyAlignment="1" applyProtection="1"/>
    <xf numFmtId="165" fontId="8" fillId="0" borderId="4" xfId="2" applyNumberFormat="1" applyFont="1" applyFill="1" applyBorder="1" applyAlignment="1" applyProtection="1"/>
    <xf numFmtId="165" fontId="8" fillId="0" borderId="13" xfId="2" applyNumberFormat="1" applyFont="1" applyFill="1" applyBorder="1" applyAlignment="1" applyProtection="1"/>
    <xf numFmtId="0" fontId="0" fillId="0" borderId="0" xfId="0" applyFill="1"/>
    <xf numFmtId="166" fontId="18" fillId="0" borderId="4" xfId="0" applyNumberFormat="1" applyFont="1" applyFill="1" applyBorder="1" applyAlignment="1" applyProtection="1"/>
    <xf numFmtId="165" fontId="18" fillId="0" borderId="4" xfId="2" applyNumberFormat="1" applyFont="1" applyFill="1" applyBorder="1" applyAlignment="1" applyProtection="1"/>
    <xf numFmtId="166" fontId="0" fillId="0" borderId="0" xfId="0" applyNumberFormat="1" applyFill="1"/>
    <xf numFmtId="165" fontId="0" fillId="0" borderId="0" xfId="0" applyNumberFormat="1" applyFill="1"/>
    <xf numFmtId="166" fontId="3" fillId="2" borderId="6" xfId="0" applyNumberFormat="1" applyFont="1" applyFill="1" applyBorder="1" applyAlignment="1" applyProtection="1"/>
    <xf numFmtId="166" fontId="3" fillId="2" borderId="4" xfId="0" applyNumberFormat="1" applyFont="1" applyFill="1" applyBorder="1" applyAlignment="1" applyProtection="1"/>
    <xf numFmtId="165" fontId="3" fillId="2" borderId="4" xfId="2" applyNumberFormat="1" applyFont="1" applyFill="1" applyBorder="1" applyAlignment="1" applyProtection="1"/>
    <xf numFmtId="166" fontId="8" fillId="0" borderId="6" xfId="0" applyNumberFormat="1" applyFont="1" applyFill="1" applyBorder="1" applyAlignment="1" applyProtection="1"/>
    <xf numFmtId="166" fontId="8" fillId="0" borderId="4" xfId="0" applyNumberFormat="1" applyFont="1" applyFill="1" applyBorder="1" applyAlignment="1" applyProtection="1"/>
    <xf numFmtId="164" fontId="2" fillId="0" borderId="20" xfId="0" applyNumberFormat="1" applyFont="1" applyFill="1" applyBorder="1" applyAlignment="1" applyProtection="1"/>
    <xf numFmtId="166" fontId="2" fillId="0" borderId="1" xfId="1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164" fontId="4" fillId="0" borderId="21" xfId="0" applyNumberFormat="1" applyFont="1" applyFill="1" applyBorder="1" applyAlignment="1" applyProtection="1">
      <alignment horizontal="center" shrinkToFit="1"/>
    </xf>
    <xf numFmtId="166" fontId="4" fillId="0" borderId="22" xfId="1" applyNumberFormat="1" applyFont="1" applyFill="1" applyBorder="1" applyAlignment="1" applyProtection="1">
      <alignment horizontal="center"/>
    </xf>
    <xf numFmtId="0" fontId="23" fillId="0" borderId="0" xfId="0" applyFont="1"/>
    <xf numFmtId="167" fontId="25" fillId="0" borderId="0" xfId="0" applyNumberFormat="1" applyFont="1"/>
    <xf numFmtId="167" fontId="26" fillId="0" borderId="0" xfId="0" applyNumberFormat="1" applyFont="1"/>
    <xf numFmtId="167" fontId="24" fillId="0" borderId="3" xfId="0" applyNumberFormat="1" applyFont="1" applyBorder="1" applyAlignment="1" applyProtection="1">
      <alignment horizontal="left"/>
    </xf>
    <xf numFmtId="0" fontId="27" fillId="6" borderId="14" xfId="0" applyFont="1" applyFill="1" applyBorder="1" applyAlignment="1">
      <alignment horizontal="center" vertical="center" wrapText="1"/>
    </xf>
    <xf numFmtId="167" fontId="28" fillId="5" borderId="13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/>
    <xf numFmtId="0" fontId="29" fillId="3" borderId="13" xfId="0" applyFont="1" applyFill="1" applyBorder="1" applyAlignment="1">
      <alignment horizontal="center" vertical="center" wrapText="1"/>
    </xf>
    <xf numFmtId="167" fontId="30" fillId="4" borderId="13" xfId="0" applyNumberFormat="1" applyFont="1" applyFill="1" applyBorder="1" applyAlignment="1" applyProtection="1">
      <alignment horizontal="center" wrapText="1"/>
    </xf>
    <xf numFmtId="167" fontId="25" fillId="0" borderId="0" xfId="0" applyNumberFormat="1" applyFont="1" applyAlignment="1"/>
    <xf numFmtId="167" fontId="27" fillId="5" borderId="20" xfId="0" applyNumberFormat="1" applyFont="1" applyFill="1" applyBorder="1" applyAlignment="1">
      <alignment horizontal="center" wrapText="1"/>
    </xf>
    <xf numFmtId="167" fontId="27" fillId="5" borderId="14" xfId="0" applyNumberFormat="1" applyFont="1" applyFill="1" applyBorder="1" applyAlignment="1">
      <alignment horizontal="center" wrapText="1"/>
    </xf>
    <xf numFmtId="167" fontId="27" fillId="5" borderId="2" xfId="0" applyNumberFormat="1" applyFont="1" applyFill="1" applyBorder="1" applyAlignment="1">
      <alignment horizontal="center" wrapText="1"/>
    </xf>
    <xf numFmtId="167" fontId="27" fillId="6" borderId="13" xfId="0" applyNumberFormat="1" applyFont="1" applyFill="1" applyBorder="1" applyAlignment="1">
      <alignment horizontal="center" vertical="center" wrapText="1"/>
    </xf>
    <xf numFmtId="167" fontId="27" fillId="5" borderId="13" xfId="0" applyNumberFormat="1" applyFont="1" applyFill="1" applyBorder="1" applyAlignment="1">
      <alignment horizontal="center" vertical="center" wrapText="1"/>
    </xf>
    <xf numFmtId="167" fontId="30" fillId="4" borderId="13" xfId="0" applyNumberFormat="1" applyFont="1" applyFill="1" applyBorder="1" applyProtection="1"/>
    <xf numFmtId="167" fontId="27" fillId="5" borderId="7" xfId="0" applyNumberFormat="1" applyFont="1" applyFill="1" applyBorder="1"/>
    <xf numFmtId="6" fontId="27" fillId="5" borderId="13" xfId="0" applyNumberFormat="1" applyFont="1" applyFill="1" applyBorder="1"/>
    <xf numFmtId="10" fontId="27" fillId="5" borderId="13" xfId="0" applyNumberFormat="1" applyFont="1" applyFill="1" applyBorder="1"/>
    <xf numFmtId="10" fontId="27" fillId="5" borderId="8" xfId="0" applyNumberFormat="1" applyFont="1" applyFill="1" applyBorder="1"/>
    <xf numFmtId="167" fontId="27" fillId="6" borderId="13" xfId="0" applyNumberFormat="1" applyFont="1" applyFill="1" applyBorder="1"/>
    <xf numFmtId="167" fontId="27" fillId="5" borderId="13" xfId="0" applyNumberFormat="1" applyFont="1" applyFill="1" applyBorder="1"/>
    <xf numFmtId="167" fontId="30" fillId="0" borderId="14" xfId="0" applyNumberFormat="1" applyFont="1" applyBorder="1" applyProtection="1"/>
    <xf numFmtId="167" fontId="26" fillId="0" borderId="19" xfId="0" applyNumberFormat="1" applyFont="1" applyFill="1" applyBorder="1"/>
    <xf numFmtId="6" fontId="26" fillId="0" borderId="6" xfId="0" applyNumberFormat="1" applyFont="1" applyFill="1" applyBorder="1"/>
    <xf numFmtId="10" fontId="26" fillId="0" borderId="6" xfId="0" applyNumberFormat="1" applyFont="1" applyFill="1" applyBorder="1"/>
    <xf numFmtId="10" fontId="26" fillId="0" borderId="4" xfId="0" applyNumberFormat="1" applyFont="1" applyFill="1" applyBorder="1"/>
    <xf numFmtId="167" fontId="26" fillId="0" borderId="6" xfId="0" applyNumberFormat="1" applyFont="1" applyBorder="1"/>
    <xf numFmtId="167" fontId="31" fillId="0" borderId="6" xfId="0" applyNumberFormat="1" applyFont="1" applyBorder="1" applyProtection="1"/>
    <xf numFmtId="167" fontId="31" fillId="0" borderId="11" xfId="0" applyNumberFormat="1" applyFont="1" applyBorder="1" applyProtection="1"/>
    <xf numFmtId="165" fontId="27" fillId="5" borderId="8" xfId="0" applyNumberFormat="1" applyFont="1" applyFill="1" applyBorder="1"/>
    <xf numFmtId="167" fontId="25" fillId="0" borderId="6" xfId="0" applyNumberFormat="1" applyFont="1" applyBorder="1"/>
    <xf numFmtId="167" fontId="31" fillId="4" borderId="13" xfId="0" applyNumberFormat="1" applyFont="1" applyFill="1" applyBorder="1" applyProtection="1"/>
    <xf numFmtId="164" fontId="8" fillId="0" borderId="19" xfId="0" applyNumberFormat="1" applyFont="1" applyFill="1" applyBorder="1" applyAlignment="1" applyProtection="1"/>
    <xf numFmtId="164" fontId="10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6" xfId="1" applyNumberFormat="1" applyFont="1" applyFill="1" applyBorder="1" applyAlignment="1" applyProtection="1"/>
    <xf numFmtId="166" fontId="8" fillId="0" borderId="9" xfId="0" applyNumberFormat="1" applyFont="1" applyFill="1" applyBorder="1" applyAlignment="1" applyProtection="1"/>
    <xf numFmtId="165" fontId="8" fillId="0" borderId="14" xfId="2" applyNumberFormat="1" applyFont="1" applyFill="1" applyBorder="1" applyAlignment="1" applyProtection="1"/>
    <xf numFmtId="166" fontId="8" fillId="0" borderId="0" xfId="0" applyNumberFormat="1" applyFont="1" applyFill="1" applyBorder="1" applyAlignment="1" applyProtection="1"/>
    <xf numFmtId="166" fontId="3" fillId="0" borderId="1" xfId="0" applyNumberFormat="1" applyFont="1" applyFill="1" applyBorder="1" applyAlignment="1" applyProtection="1"/>
    <xf numFmtId="166" fontId="3" fillId="0" borderId="14" xfId="1" applyNumberFormat="1" applyFont="1" applyFill="1" applyBorder="1" applyAlignment="1" applyProtection="1"/>
    <xf numFmtId="166" fontId="3" fillId="0" borderId="13" xfId="0" applyNumberFormat="1" applyFont="1" applyFill="1" applyBorder="1" applyAlignment="1" applyProtection="1"/>
    <xf numFmtId="164" fontId="8" fillId="0" borderId="7" xfId="0" applyNumberFormat="1" applyFont="1" applyFill="1" applyBorder="1" applyAlignment="1" applyProtection="1"/>
    <xf numFmtId="164" fontId="8" fillId="0" borderId="19" xfId="0" applyNumberFormat="1" applyFont="1" applyFill="1" applyBorder="1" applyAlignment="1" applyProtection="1">
      <alignment wrapText="1"/>
    </xf>
    <xf numFmtId="164" fontId="3" fillId="0" borderId="19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2" borderId="0" xfId="2" applyNumberFormat="1" applyFont="1" applyFill="1" applyBorder="1" applyAlignment="1" applyProtection="1"/>
    <xf numFmtId="164" fontId="3" fillId="2" borderId="19" xfId="0" applyNumberFormat="1" applyFont="1" applyFill="1" applyBorder="1" applyAlignment="1" applyProtection="1"/>
    <xf numFmtId="164" fontId="13" fillId="0" borderId="19" xfId="0" applyNumberFormat="1" applyFont="1" applyFill="1" applyBorder="1" applyAlignment="1" applyProtection="1"/>
    <xf numFmtId="164" fontId="3" fillId="2" borderId="19" xfId="0" applyNumberFormat="1" applyFont="1" applyFill="1" applyBorder="1" applyAlignment="1" applyProtection="1">
      <alignment wrapText="1"/>
    </xf>
    <xf numFmtId="166" fontId="3" fillId="2" borderId="0" xfId="1" applyNumberFormat="1" applyFont="1" applyFill="1" applyBorder="1" applyAlignment="1" applyProtection="1"/>
    <xf numFmtId="166" fontId="3" fillId="2" borderId="6" xfId="1" applyNumberFormat="1" applyFont="1" applyFill="1" applyBorder="1" applyAlignment="1" applyProtection="1"/>
    <xf numFmtId="164" fontId="10" fillId="0" borderId="7" xfId="0" applyNumberFormat="1" applyFont="1" applyFill="1" applyBorder="1" applyAlignment="1" applyProtection="1"/>
    <xf numFmtId="166" fontId="3" fillId="0" borderId="4" xfId="1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3" fillId="2" borderId="19" xfId="0" applyNumberFormat="1" applyFont="1" applyFill="1" applyBorder="1" applyAlignment="1"/>
    <xf numFmtId="164" fontId="18" fillId="0" borderId="19" xfId="0" applyNumberFormat="1" applyFont="1" applyFill="1" applyBorder="1" applyAlignment="1" applyProtection="1"/>
    <xf numFmtId="164" fontId="14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/>
    <xf numFmtId="164" fontId="8" fillId="0" borderId="21" xfId="0" applyNumberFormat="1" applyFont="1" applyFill="1" applyBorder="1" applyAlignment="1" applyProtection="1"/>
    <xf numFmtId="166" fontId="8" fillId="0" borderId="4" xfId="1" applyNumberFormat="1" applyFont="1" applyFill="1" applyBorder="1" applyAlignment="1" applyProtection="1"/>
    <xf numFmtId="166" fontId="3" fillId="2" borderId="4" xfId="1" applyNumberFormat="1" applyFont="1" applyFill="1" applyBorder="1" applyAlignment="1" applyProtection="1"/>
    <xf numFmtId="166" fontId="8" fillId="0" borderId="8" xfId="1" applyNumberFormat="1" applyFont="1" applyFill="1" applyBorder="1" applyAlignment="1" applyProtection="1"/>
    <xf numFmtId="166" fontId="8" fillId="0" borderId="10" xfId="1" applyNumberFormat="1" applyFont="1" applyFill="1" applyBorder="1" applyAlignment="1" applyProtection="1"/>
    <xf numFmtId="166" fontId="18" fillId="0" borderId="4" xfId="1" applyNumberFormat="1" applyFont="1" applyFill="1" applyBorder="1" applyAlignment="1" applyProtection="1"/>
    <xf numFmtId="166" fontId="3" fillId="0" borderId="4" xfId="1" quotePrefix="1" applyNumberFormat="1" applyFont="1" applyFill="1" applyBorder="1" applyAlignment="1" applyProtection="1"/>
    <xf numFmtId="166" fontId="8" fillId="0" borderId="6" xfId="1" applyNumberFormat="1" applyFont="1" applyFill="1" applyBorder="1" applyAlignment="1" applyProtection="1"/>
    <xf numFmtId="166" fontId="8" fillId="0" borderId="13" xfId="1" applyNumberFormat="1" applyFont="1" applyFill="1" applyBorder="1" applyAlignment="1" applyProtection="1"/>
    <xf numFmtId="166" fontId="18" fillId="0" borderId="6" xfId="1" applyNumberFormat="1" applyFont="1" applyFill="1" applyBorder="1" applyAlignment="1" applyProtection="1"/>
    <xf numFmtId="166" fontId="3" fillId="0" borderId="6" xfId="1" quotePrefix="1" applyNumberFormat="1" applyFont="1" applyFill="1" applyBorder="1" applyAlignment="1" applyProtection="1"/>
    <xf numFmtId="166" fontId="5" fillId="0" borderId="13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 applyProtection="1">
      <alignment horizontal="center" vertical="center" wrapText="1"/>
    </xf>
    <xf numFmtId="165" fontId="9" fillId="0" borderId="8" xfId="0" applyNumberFormat="1" applyFont="1" applyFill="1" applyBorder="1" applyAlignment="1" applyProtection="1">
      <alignment horizontal="center" vertical="center" wrapText="1"/>
    </xf>
    <xf numFmtId="166" fontId="3" fillId="0" borderId="11" xfId="1" applyNumberFormat="1" applyFont="1" applyFill="1" applyBorder="1" applyAlignment="1" applyProtection="1"/>
    <xf numFmtId="166" fontId="3" fillId="0" borderId="23" xfId="1" applyNumberFormat="1" applyFont="1" applyFill="1" applyBorder="1" applyAlignment="1" applyProtection="1"/>
    <xf numFmtId="166" fontId="3" fillId="0" borderId="17" xfId="0" applyNumberFormat="1" applyFont="1" applyFill="1" applyBorder="1" applyAlignment="1" applyProtection="1"/>
    <xf numFmtId="164" fontId="3" fillId="0" borderId="7" xfId="0" applyNumberFormat="1" applyFont="1" applyFill="1" applyBorder="1" applyAlignment="1" applyProtection="1"/>
    <xf numFmtId="164" fontId="12" fillId="0" borderId="19" xfId="0" applyNumberFormat="1" applyFont="1" applyFill="1" applyBorder="1" applyAlignment="1" applyProtection="1"/>
    <xf numFmtId="166" fontId="3" fillId="0" borderId="18" xfId="0" applyNumberFormat="1" applyFont="1" applyFill="1" applyBorder="1" applyAlignment="1" applyProtection="1"/>
    <xf numFmtId="165" fontId="3" fillId="0" borderId="18" xfId="2" applyNumberFormat="1" applyFont="1" applyFill="1" applyBorder="1" applyAlignment="1" applyProtection="1"/>
    <xf numFmtId="166" fontId="3" fillId="0" borderId="16" xfId="0" applyNumberFormat="1" applyFont="1" applyFill="1" applyBorder="1" applyAlignment="1" applyProtection="1"/>
    <xf numFmtId="165" fontId="3" fillId="0" borderId="15" xfId="2" applyNumberFormat="1" applyFont="1" applyFill="1" applyBorder="1" applyAlignment="1" applyProtection="1"/>
    <xf numFmtId="164" fontId="8" fillId="0" borderId="7" xfId="0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/>
    <xf numFmtId="166" fontId="3" fillId="0" borderId="8" xfId="1" applyNumberFormat="1" applyFont="1" applyFill="1" applyBorder="1" applyAlignment="1" applyProtection="1"/>
    <xf numFmtId="165" fontId="3" fillId="0" borderId="13" xfId="0" applyNumberFormat="1" applyFont="1" applyFill="1" applyBorder="1" applyAlignment="1" applyProtection="1"/>
    <xf numFmtId="164" fontId="8" fillId="0" borderId="20" xfId="0" applyNumberFormat="1" applyFont="1" applyFill="1" applyBorder="1" applyAlignment="1" applyProtection="1">
      <alignment wrapText="1"/>
    </xf>
    <xf numFmtId="165" fontId="3" fillId="0" borderId="14" xfId="0" applyNumberFormat="1" applyFont="1" applyFill="1" applyBorder="1" applyAlignment="1" applyProtection="1"/>
    <xf numFmtId="166" fontId="3" fillId="0" borderId="22" xfId="0" applyNumberFormat="1" applyFont="1" applyFill="1" applyBorder="1" applyAlignment="1" applyProtection="1">
      <alignment horizontal="center"/>
    </xf>
    <xf numFmtId="167" fontId="0" fillId="0" borderId="0" xfId="0" applyNumberFormat="1"/>
    <xf numFmtId="166" fontId="8" fillId="0" borderId="12" xfId="0" applyNumberFormat="1" applyFont="1" applyFill="1" applyBorder="1" applyAlignment="1" applyProtection="1"/>
    <xf numFmtId="166" fontId="8" fillId="0" borderId="14" xfId="0" applyNumberFormat="1" applyFont="1" applyFill="1" applyBorder="1" applyAlignment="1" applyProtection="1">
      <alignment horizontal="center" vertical="center" wrapText="1"/>
    </xf>
    <xf numFmtId="166" fontId="3" fillId="0" borderId="22" xfId="0" applyNumberFormat="1" applyFont="1" applyFill="1" applyBorder="1" applyAlignment="1" applyProtection="1"/>
    <xf numFmtId="166" fontId="3" fillId="0" borderId="11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/>
    <xf numFmtId="166" fontId="8" fillId="0" borderId="11" xfId="0" applyNumberFormat="1" applyFont="1" applyFill="1" applyBorder="1" applyAlignment="1" applyProtection="1"/>
    <xf numFmtId="166" fontId="18" fillId="0" borderId="6" xfId="0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3" fillId="0" borderId="2" xfId="1" applyNumberFormat="1" applyFont="1" applyFill="1" applyBorder="1" applyAlignment="1" applyProtection="1"/>
    <xf numFmtId="168" fontId="3" fillId="0" borderId="6" xfId="1" applyNumberFormat="1" applyFont="1" applyFill="1" applyBorder="1" applyAlignment="1" applyProtection="1"/>
    <xf numFmtId="168" fontId="8" fillId="0" borderId="13" xfId="1" applyNumberFormat="1" applyFont="1" applyFill="1" applyBorder="1" applyAlignment="1" applyProtection="1"/>
    <xf numFmtId="168" fontId="8" fillId="0" borderId="8" xfId="1" applyNumberFormat="1" applyFont="1" applyFill="1" applyBorder="1" applyAlignment="1" applyProtection="1"/>
    <xf numFmtId="168" fontId="8" fillId="0" borderId="14" xfId="1" applyNumberFormat="1" applyFont="1" applyFill="1" applyBorder="1" applyAlignment="1" applyProtection="1"/>
    <xf numFmtId="168" fontId="3" fillId="0" borderId="11" xfId="1" applyNumberFormat="1" applyFont="1" applyFill="1" applyBorder="1" applyAlignment="1" applyProtection="1"/>
    <xf numFmtId="168" fontId="3" fillId="2" borderId="6" xfId="1" applyNumberFormat="1" applyFont="1" applyFill="1" applyBorder="1" applyAlignment="1" applyProtection="1"/>
    <xf numFmtId="168" fontId="3" fillId="0" borderId="13" xfId="1" applyNumberFormat="1" applyFont="1" applyFill="1" applyBorder="1" applyAlignment="1" applyProtection="1"/>
    <xf numFmtId="168" fontId="8" fillId="0" borderId="14" xfId="1" applyNumberFormat="1" applyFont="1" applyFill="1" applyBorder="1" applyAlignment="1" applyProtection="1">
      <alignment horizontal="center" vertical="center"/>
    </xf>
    <xf numFmtId="168" fontId="3" fillId="0" borderId="11" xfId="1" applyNumberFormat="1" applyFont="1" applyFill="1" applyBorder="1" applyAlignment="1" applyProtection="1">
      <alignment horizontal="center" vertical="center"/>
    </xf>
    <xf numFmtId="168" fontId="3" fillId="0" borderId="4" xfId="1" applyNumberFormat="1" applyFont="1" applyFill="1" applyBorder="1" applyAlignment="1" applyProtection="1"/>
    <xf numFmtId="168" fontId="3" fillId="0" borderId="17" xfId="1" applyNumberFormat="1" applyFont="1" applyFill="1" applyBorder="1" applyAlignment="1" applyProtection="1"/>
    <xf numFmtId="168" fontId="3" fillId="0" borderId="16" xfId="1" applyNumberFormat="1" applyFont="1" applyFill="1" applyBorder="1" applyAlignment="1" applyProtection="1"/>
    <xf numFmtId="168" fontId="3" fillId="0" borderId="14" xfId="1" applyNumberFormat="1" applyFont="1" applyFill="1" applyBorder="1" applyAlignment="1" applyProtection="1"/>
    <xf numFmtId="168" fontId="8" fillId="0" borderId="6" xfId="1" applyNumberFormat="1" applyFont="1" applyFill="1" applyBorder="1" applyAlignment="1" applyProtection="1"/>
    <xf numFmtId="168" fontId="3" fillId="3" borderId="6" xfId="1" applyNumberFormat="1" applyFont="1" applyFill="1" applyBorder="1" applyAlignment="1" applyProtection="1"/>
    <xf numFmtId="168" fontId="8" fillId="0" borderId="4" xfId="1" applyNumberFormat="1" applyFont="1" applyFill="1" applyBorder="1" applyAlignment="1" applyProtection="1"/>
    <xf numFmtId="168" fontId="3" fillId="2" borderId="4" xfId="1" applyNumberFormat="1" applyFont="1" applyFill="1" applyBorder="1" applyAlignment="1" applyProtection="1"/>
    <xf numFmtId="168" fontId="3" fillId="2" borderId="4" xfId="1" applyNumberFormat="1" applyFont="1" applyFill="1" applyBorder="1" applyAlignment="1" applyProtection="1">
      <alignment horizontal="right"/>
    </xf>
    <xf numFmtId="168" fontId="8" fillId="0" borderId="11" xfId="1" applyNumberFormat="1" applyFont="1" applyFill="1" applyBorder="1" applyAlignment="1" applyProtection="1"/>
    <xf numFmtId="168" fontId="3" fillId="3" borderId="4" xfId="1" applyNumberFormat="1" applyFont="1" applyFill="1" applyBorder="1" applyAlignment="1" applyProtection="1"/>
    <xf numFmtId="168" fontId="32" fillId="0" borderId="4" xfId="1" applyNumberFormat="1" applyFont="1" applyFill="1" applyBorder="1" applyAlignment="1" applyProtection="1"/>
    <xf numFmtId="168" fontId="3" fillId="2" borderId="4" xfId="1" applyNumberFormat="1" applyFont="1" applyFill="1" applyBorder="1" applyAlignment="1" applyProtection="1">
      <alignment horizontal="right" vertical="center"/>
    </xf>
    <xf numFmtId="168" fontId="0" fillId="0" borderId="0" xfId="1" applyNumberFormat="1" applyFont="1" applyFill="1"/>
    <xf numFmtId="168" fontId="0" fillId="0" borderId="0" xfId="1" applyNumberFormat="1" applyFont="1"/>
    <xf numFmtId="43" fontId="0" fillId="0" borderId="0" xfId="0" applyNumberFormat="1" applyFill="1"/>
    <xf numFmtId="168" fontId="8" fillId="3" borderId="8" xfId="1" applyNumberFormat="1" applyFont="1" applyFill="1" applyBorder="1" applyAlignment="1" applyProtection="1">
      <alignment horizontal="center" vertical="center" wrapText="1"/>
    </xf>
    <xf numFmtId="168" fontId="8" fillId="0" borderId="7" xfId="1" applyNumberFormat="1" applyFont="1" applyFill="1" applyBorder="1" applyAlignment="1" applyProtection="1"/>
    <xf numFmtId="168" fontId="3" fillId="0" borderId="7" xfId="1" applyNumberFormat="1" applyFont="1" applyFill="1" applyBorder="1" applyAlignment="1" applyProtection="1"/>
    <xf numFmtId="168" fontId="8" fillId="0" borderId="2" xfId="1" applyNumberFormat="1" applyFont="1" applyFill="1" applyBorder="1" applyAlignment="1" applyProtection="1">
      <alignment horizontal="center" vertical="center"/>
    </xf>
    <xf numFmtId="168" fontId="3" fillId="0" borderId="10" xfId="1" applyNumberFormat="1" applyFont="1" applyFill="1" applyBorder="1" applyAlignment="1" applyProtection="1">
      <alignment horizontal="center" vertical="center"/>
    </xf>
    <xf numFmtId="168" fontId="3" fillId="0" borderId="18" xfId="1" applyNumberFormat="1" applyFont="1" applyFill="1" applyBorder="1" applyAlignment="1" applyProtection="1"/>
    <xf numFmtId="168" fontId="3" fillId="0" borderId="15" xfId="1" applyNumberFormat="1" applyFont="1" applyFill="1" applyBorder="1" applyAlignment="1" applyProtection="1"/>
    <xf numFmtId="165" fontId="0" fillId="0" borderId="0" xfId="2" applyNumberFormat="1" applyFont="1" applyFill="1"/>
    <xf numFmtId="165" fontId="0" fillId="0" borderId="0" xfId="2" applyNumberFormat="1" applyFont="1"/>
    <xf numFmtId="10" fontId="0" fillId="0" borderId="0" xfId="2" applyNumberFormat="1" applyFont="1"/>
    <xf numFmtId="168" fontId="4" fillId="0" borderId="0" xfId="1" applyNumberFormat="1" applyFont="1" applyFill="1" applyBorder="1" applyAlignment="1" applyProtection="1">
      <alignment horizontal="center"/>
    </xf>
    <xf numFmtId="165" fontId="2" fillId="0" borderId="1" xfId="2" applyNumberFormat="1" applyFont="1" applyFill="1" applyBorder="1" applyAlignment="1" applyProtection="1"/>
    <xf numFmtId="165" fontId="2" fillId="0" borderId="2" xfId="2" applyNumberFormat="1" applyFont="1" applyFill="1" applyBorder="1" applyAlignment="1" applyProtection="1"/>
    <xf numFmtId="165" fontId="8" fillId="3" borderId="8" xfId="2" applyNumberFormat="1" applyFont="1" applyFill="1" applyBorder="1" applyAlignment="1" applyProtection="1">
      <alignment horizontal="center" vertical="center" wrapText="1"/>
    </xf>
    <xf numFmtId="165" fontId="3" fillId="0" borderId="2" xfId="2" applyNumberFormat="1" applyFont="1" applyFill="1" applyBorder="1" applyAlignment="1" applyProtection="1"/>
    <xf numFmtId="165" fontId="8" fillId="0" borderId="6" xfId="2" applyNumberFormat="1" applyFont="1" applyFill="1" applyBorder="1" applyAlignment="1" applyProtection="1"/>
    <xf numFmtId="165" fontId="3" fillId="2" borderId="6" xfId="2" applyNumberFormat="1" applyFont="1" applyFill="1" applyBorder="1" applyAlignment="1" applyProtection="1"/>
    <xf numFmtId="165" fontId="8" fillId="0" borderId="7" xfId="2" applyNumberFormat="1" applyFont="1" applyFill="1" applyBorder="1" applyAlignment="1" applyProtection="1"/>
    <xf numFmtId="165" fontId="3" fillId="0" borderId="7" xfId="2" applyNumberFormat="1" applyFont="1" applyFill="1" applyBorder="1" applyAlignment="1" applyProtection="1"/>
    <xf numFmtId="165" fontId="3" fillId="0" borderId="13" xfId="2" applyNumberFormat="1" applyFont="1" applyFill="1" applyBorder="1" applyAlignment="1" applyProtection="1"/>
    <xf numFmtId="165" fontId="8" fillId="0" borderId="14" xfId="2" applyNumberFormat="1" applyFont="1" applyFill="1" applyBorder="1" applyAlignment="1" applyProtection="1">
      <alignment horizontal="center" vertical="center"/>
    </xf>
    <xf numFmtId="165" fontId="8" fillId="0" borderId="2" xfId="2" applyNumberFormat="1" applyFont="1" applyFill="1" applyBorder="1" applyAlignment="1" applyProtection="1">
      <alignment horizontal="center" vertical="center"/>
    </xf>
    <xf numFmtId="165" fontId="3" fillId="0" borderId="11" xfId="2" applyNumberFormat="1" applyFont="1" applyFill="1" applyBorder="1" applyAlignment="1" applyProtection="1">
      <alignment horizontal="center" vertical="center"/>
    </xf>
    <xf numFmtId="165" fontId="3" fillId="0" borderId="10" xfId="2" applyNumberFormat="1" applyFont="1" applyFill="1" applyBorder="1" applyAlignment="1" applyProtection="1">
      <alignment horizontal="center" vertical="center"/>
    </xf>
    <xf numFmtId="165" fontId="3" fillId="0" borderId="17" xfId="2" applyNumberFormat="1" applyFont="1" applyFill="1" applyBorder="1" applyAlignment="1" applyProtection="1"/>
    <xf numFmtId="165" fontId="3" fillId="0" borderId="16" xfId="2" applyNumberFormat="1" applyFont="1" applyFill="1" applyBorder="1" applyAlignment="1" applyProtection="1"/>
    <xf numFmtId="165" fontId="3" fillId="0" borderId="14" xfId="2" applyNumberFormat="1" applyFont="1" applyFill="1" applyBorder="1" applyAlignment="1" applyProtection="1"/>
    <xf numFmtId="165" fontId="3" fillId="3" borderId="6" xfId="2" applyNumberFormat="1" applyFont="1" applyFill="1" applyBorder="1" applyAlignment="1" applyProtection="1"/>
    <xf numFmtId="165" fontId="8" fillId="0" borderId="11" xfId="2" applyNumberFormat="1" applyFont="1" applyFill="1" applyBorder="1" applyAlignment="1" applyProtection="1"/>
    <xf numFmtId="165" fontId="3" fillId="3" borderId="4" xfId="2" applyNumberFormat="1" applyFont="1" applyFill="1" applyBorder="1" applyAlignment="1" applyProtection="1"/>
    <xf numFmtId="165" fontId="32" fillId="0" borderId="4" xfId="2" applyNumberFormat="1" applyFont="1" applyFill="1" applyBorder="1" applyAlignment="1" applyProtection="1"/>
    <xf numFmtId="168" fontId="3" fillId="0" borderId="6" xfId="1" applyNumberFormat="1" applyFont="1" applyFill="1" applyBorder="1" applyAlignment="1" applyProtection="1">
      <alignment horizontal="center"/>
    </xf>
    <xf numFmtId="168" fontId="3" fillId="0" borderId="4" xfId="1" applyNumberFormat="1" applyFont="1" applyFill="1" applyBorder="1" applyAlignment="1" applyProtection="1">
      <alignment horizontal="center"/>
    </xf>
    <xf numFmtId="165" fontId="3" fillId="0" borderId="6" xfId="2" applyNumberFormat="1" applyFont="1" applyFill="1" applyBorder="1" applyAlignment="1" applyProtection="1">
      <alignment horizontal="center"/>
    </xf>
    <xf numFmtId="165" fontId="3" fillId="0" borderId="4" xfId="2" applyNumberFormat="1" applyFont="1" applyFill="1" applyBorder="1" applyAlignment="1" applyProtection="1">
      <alignment horizontal="center"/>
    </xf>
    <xf numFmtId="168" fontId="3" fillId="0" borderId="6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Alignment="1" applyProtection="1">
      <alignment horizontal="right"/>
    </xf>
    <xf numFmtId="165" fontId="3" fillId="0" borderId="6" xfId="2" applyNumberFormat="1" applyFont="1" applyFill="1" applyBorder="1" applyAlignment="1" applyProtection="1">
      <alignment horizontal="right"/>
    </xf>
    <xf numFmtId="165" fontId="3" fillId="0" borderId="4" xfId="2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166" fontId="8" fillId="0" borderId="13" xfId="0" applyNumberFormat="1" applyFont="1" applyFill="1" applyBorder="1" applyAlignment="1" applyProtection="1">
      <alignment horizontal="center" vertical="center" wrapText="1"/>
    </xf>
    <xf numFmtId="165" fontId="4" fillId="0" borderId="4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68" fontId="8" fillId="3" borderId="13" xfId="1" applyNumberFormat="1" applyFont="1" applyFill="1" applyBorder="1" applyAlignment="1" applyProtection="1">
      <alignment horizontal="center" vertical="center" wrapText="1"/>
    </xf>
    <xf numFmtId="168" fontId="2" fillId="0" borderId="2" xfId="1" applyNumberFormat="1" applyFont="1" applyFill="1" applyBorder="1" applyAlignment="1" applyProtection="1"/>
    <xf numFmtId="168" fontId="2" fillId="0" borderId="0" xfId="1" applyNumberFormat="1" applyFont="1" applyFill="1" applyBorder="1" applyAlignment="1" applyProtection="1"/>
    <xf numFmtId="168" fontId="4" fillId="0" borderId="10" xfId="1" applyNumberFormat="1" applyFont="1" applyFill="1" applyBorder="1" applyAlignment="1" applyProtection="1">
      <alignment horizontal="center"/>
    </xf>
    <xf numFmtId="168" fontId="3" fillId="0" borderId="0" xfId="1" applyNumberFormat="1" applyFont="1" applyFill="1" applyBorder="1" applyAlignment="1" applyProtection="1"/>
    <xf numFmtId="171" fontId="0" fillId="0" borderId="0" xfId="12" applyNumberFormat="1" applyFont="1"/>
    <xf numFmtId="172" fontId="0" fillId="0" borderId="0" xfId="0" applyNumberFormat="1"/>
    <xf numFmtId="44" fontId="0" fillId="0" borderId="0" xfId="0" applyNumberFormat="1"/>
    <xf numFmtId="168" fontId="34" fillId="7" borderId="0" xfId="1" applyNumberFormat="1" applyFont="1" applyFill="1"/>
    <xf numFmtId="166" fontId="0" fillId="0" borderId="0" xfId="2" applyNumberFormat="1" applyFont="1" applyFill="1"/>
    <xf numFmtId="165" fontId="8" fillId="3" borderId="13" xfId="1" applyNumberFormat="1" applyFont="1" applyFill="1" applyBorder="1" applyAlignment="1" applyProtection="1">
      <alignment horizontal="center" vertical="center" wrapText="1"/>
    </xf>
    <xf numFmtId="166" fontId="8" fillId="3" borderId="8" xfId="1" applyNumberFormat="1" applyFont="1" applyFill="1" applyBorder="1" applyAlignment="1" applyProtection="1">
      <alignment horizontal="center" vertical="center" wrapText="1"/>
    </xf>
    <xf numFmtId="165" fontId="0" fillId="0" borderId="2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6" fontId="3" fillId="0" borderId="10" xfId="1" applyNumberFormat="1" applyFont="1" applyFill="1" applyBorder="1" applyAlignment="1" applyProtection="1"/>
    <xf numFmtId="165" fontId="3" fillId="0" borderId="19" xfId="1" applyNumberFormat="1" applyFont="1" applyFill="1" applyBorder="1" applyAlignment="1" applyProtection="1"/>
    <xf numFmtId="166" fontId="0" fillId="0" borderId="14" xfId="0" applyNumberFormat="1" applyBorder="1"/>
    <xf numFmtId="166" fontId="0" fillId="0" borderId="2" xfId="0" applyNumberFormat="1" applyBorder="1" applyAlignment="1">
      <alignment horizontal="center" vertical="center"/>
    </xf>
    <xf numFmtId="165" fontId="0" fillId="0" borderId="20" xfId="0" applyNumberFormat="1" applyFill="1" applyBorder="1"/>
    <xf numFmtId="165" fontId="0" fillId="0" borderId="19" xfId="0" applyNumberFormat="1" applyFill="1" applyBorder="1"/>
    <xf numFmtId="165" fontId="0" fillId="0" borderId="21" xfId="0" applyNumberFormat="1" applyFill="1" applyBorder="1"/>
    <xf numFmtId="165" fontId="0" fillId="0" borderId="7" xfId="0" applyNumberFormat="1" applyFill="1" applyBorder="1"/>
    <xf numFmtId="165" fontId="34" fillId="0" borderId="7" xfId="0" applyNumberFormat="1" applyFont="1" applyFill="1" applyBorder="1"/>
    <xf numFmtId="165" fontId="34" fillId="0" borderId="7" xfId="2" applyNumberFormat="1" applyFont="1" applyBorder="1"/>
    <xf numFmtId="165" fontId="34" fillId="0" borderId="21" xfId="0" applyNumberFormat="1" applyFont="1" applyBorder="1"/>
    <xf numFmtId="165" fontId="34" fillId="0" borderId="19" xfId="0" applyNumberFormat="1" applyFont="1" applyBorder="1"/>
    <xf numFmtId="166" fontId="0" fillId="0" borderId="14" xfId="0" applyNumberFormat="1" applyFill="1" applyBorder="1"/>
    <xf numFmtId="166" fontId="0" fillId="0" borderId="11" xfId="0" applyNumberFormat="1" applyFill="1" applyBorder="1"/>
    <xf numFmtId="166" fontId="8" fillId="0" borderId="14" xfId="1" applyNumberFormat="1" applyFont="1" applyFill="1" applyBorder="1" applyAlignment="1" applyProtection="1"/>
    <xf numFmtId="166" fontId="8" fillId="0" borderId="11" xfId="1" applyNumberFormat="1" applyFont="1" applyFill="1" applyBorder="1" applyAlignment="1" applyProtection="1"/>
    <xf numFmtId="165" fontId="0" fillId="0" borderId="14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/>
    </xf>
    <xf numFmtId="165" fontId="0" fillId="0" borderId="6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/>
    </xf>
    <xf numFmtId="164" fontId="3" fillId="3" borderId="19" xfId="0" applyNumberFormat="1" applyFont="1" applyFill="1" applyBorder="1" applyAlignment="1" applyProtection="1"/>
    <xf numFmtId="166" fontId="3" fillId="3" borderId="6" xfId="1" applyNumberFormat="1" applyFont="1" applyFill="1" applyBorder="1" applyAlignment="1" applyProtection="1"/>
    <xf numFmtId="166" fontId="3" fillId="3" borderId="0" xfId="1" applyNumberFormat="1" applyFont="1" applyFill="1" applyBorder="1" applyAlignment="1" applyProtection="1"/>
    <xf numFmtId="166" fontId="3" fillId="3" borderId="6" xfId="0" applyNumberFormat="1" applyFont="1" applyFill="1" applyBorder="1" applyAlignment="1" applyProtection="1"/>
    <xf numFmtId="166" fontId="3" fillId="3" borderId="0" xfId="0" applyNumberFormat="1" applyFont="1" applyFill="1" applyBorder="1" applyAlignment="1" applyProtection="1"/>
    <xf numFmtId="165" fontId="3" fillId="3" borderId="0" xfId="2" applyNumberFormat="1" applyFont="1" applyFill="1" applyBorder="1" applyAlignment="1" applyProtection="1"/>
    <xf numFmtId="165" fontId="0" fillId="3" borderId="19" xfId="0" applyNumberFormat="1" applyFill="1" applyBorder="1"/>
    <xf numFmtId="0" fontId="0" fillId="3" borderId="0" xfId="0" applyFill="1"/>
    <xf numFmtId="166" fontId="3" fillId="3" borderId="4" xfId="1" applyNumberFormat="1" applyFont="1" applyFill="1" applyBorder="1" applyAlignment="1" applyProtection="1"/>
    <xf numFmtId="166" fontId="3" fillId="3" borderId="4" xfId="0" applyNumberFormat="1" applyFont="1" applyFill="1" applyBorder="1" applyAlignment="1" applyProtection="1"/>
    <xf numFmtId="164" fontId="3" fillId="3" borderId="19" xfId="0" applyNumberFormat="1" applyFont="1" applyFill="1" applyBorder="1" applyAlignment="1" applyProtection="1">
      <alignment wrapText="1"/>
    </xf>
    <xf numFmtId="164" fontId="3" fillId="3" borderId="19" xfId="0" applyNumberFormat="1" applyFont="1" applyFill="1" applyBorder="1" applyAlignment="1"/>
    <xf numFmtId="168" fontId="3" fillId="3" borderId="4" xfId="1" applyNumberFormat="1" applyFont="1" applyFill="1" applyBorder="1" applyAlignment="1" applyProtection="1">
      <alignment horizontal="right" vertical="center"/>
    </xf>
    <xf numFmtId="42" fontId="0" fillId="0" borderId="0" xfId="0" applyNumberFormat="1"/>
    <xf numFmtId="168" fontId="0" fillId="0" borderId="0" xfId="0" applyNumberFormat="1" applyFill="1"/>
    <xf numFmtId="10" fontId="0" fillId="0" borderId="0" xfId="0" applyNumberFormat="1"/>
    <xf numFmtId="166" fontId="3" fillId="0" borderId="14" xfId="0" applyNumberFormat="1" applyFont="1" applyFill="1" applyBorder="1" applyAlignment="1" applyProtection="1"/>
    <xf numFmtId="166" fontId="3" fillId="0" borderId="11" xfId="0" applyNumberFormat="1" applyFont="1" applyFill="1" applyBorder="1" applyAlignment="1" applyProtection="1"/>
    <xf numFmtId="165" fontId="34" fillId="0" borderId="25" xfId="0" applyNumberFormat="1" applyFont="1" applyFill="1" applyBorder="1"/>
    <xf numFmtId="165" fontId="34" fillId="0" borderId="24" xfId="0" applyNumberFormat="1" applyFont="1" applyFill="1" applyBorder="1"/>
    <xf numFmtId="165" fontId="34" fillId="0" borderId="26" xfId="0" applyNumberFormat="1" applyFont="1" applyFill="1" applyBorder="1"/>
    <xf numFmtId="165" fontId="34" fillId="0" borderId="27" xfId="0" applyNumberFormat="1" applyFont="1" applyFill="1" applyBorder="1" applyAlignment="1">
      <alignment horizontal="center" vertical="center"/>
    </xf>
    <xf numFmtId="170" fontId="0" fillId="0" borderId="0" xfId="2" applyNumberFormat="1" applyFont="1" applyFill="1"/>
    <xf numFmtId="169" fontId="0" fillId="0" borderId="0" xfId="0" applyNumberFormat="1" applyFill="1"/>
    <xf numFmtId="173" fontId="0" fillId="0" borderId="0" xfId="0" applyNumberFormat="1" applyFill="1"/>
    <xf numFmtId="166" fontId="8" fillId="0" borderId="13" xfId="1" applyNumberFormat="1" applyFont="1" applyFill="1" applyBorder="1" applyAlignment="1" applyProtection="1">
      <alignment horizontal="center" vertical="center" wrapText="1"/>
    </xf>
    <xf numFmtId="164" fontId="17" fillId="2" borderId="19" xfId="0" applyNumberFormat="1" applyFont="1" applyFill="1" applyBorder="1" applyAlignment="1" applyProtection="1">
      <alignment horizontal="center" vertical="center"/>
    </xf>
    <xf numFmtId="164" fontId="17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34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7" fontId="28" fillId="5" borderId="7" xfId="0" applyNumberFormat="1" applyFont="1" applyFill="1" applyBorder="1" applyAlignment="1">
      <alignment horizontal="center" vertical="center" wrapText="1"/>
    </xf>
    <xf numFmtId="167" fontId="28" fillId="5" borderId="9" xfId="0" applyNumberFormat="1" applyFont="1" applyFill="1" applyBorder="1" applyAlignment="1">
      <alignment horizontal="center" vertical="center" wrapText="1"/>
    </xf>
    <xf numFmtId="167" fontId="28" fillId="5" borderId="8" xfId="0" applyNumberFormat="1" applyFont="1" applyFill="1" applyBorder="1" applyAlignment="1">
      <alignment horizontal="center" vertical="center" wrapText="1"/>
    </xf>
  </cellXfs>
  <cellStyles count="15">
    <cellStyle name="Comma" xfId="1" builtinId="3"/>
    <cellStyle name="Currency" xfId="1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3" builtinId="8" hidden="1"/>
    <cellStyle name="Normal" xfId="0" builtinId="0"/>
    <cellStyle name="Normal 2" xfId="11"/>
    <cellStyle name="Percent" xfId="2" builtinId="5"/>
  </cellStyles>
  <dxfs count="0"/>
  <tableStyles count="0" defaultTableStyle="TableStyleMedium9" defaultPivotStyle="PivotStyleMedium7"/>
  <colors>
    <mruColors>
      <color rgb="FF1DC4FF"/>
      <color rgb="FFE30B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/>
              <a:t>CHANGE IN GENERAL FUND SUPPORT FOR HIGHER EDUCATION </a:t>
            </a:r>
          </a:p>
          <a:p>
            <a:pPr>
              <a:defRPr/>
            </a:pPr>
            <a:r>
              <a:rPr lang="en-US"/>
              <a:t>FROM FY16 TO FY18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60272221756"/>
          <c:y val="0.20150018395928199"/>
          <c:w val="0.874774175079015"/>
          <c:h val="0.59437588960107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'Historical GF Support'!$D$29</c:f>
              <c:strCache>
                <c:ptCount val="1"/>
                <c:pt idx="0">
                  <c:v>FY16 (HB2)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Support'!$C$30:$C$31</c:f>
              <c:strCache>
                <c:ptCount val="2"/>
                <c:pt idx="0">
                  <c:v>Instruction &amp; General (I&amp;G)</c:v>
                </c:pt>
                <c:pt idx="1">
                  <c:v>Research &amp; Public Service Projects (RPSPs)</c:v>
                </c:pt>
              </c:strCache>
            </c:strRef>
          </c:cat>
          <c:val>
            <c:numRef>
              <c:f>'Historical GF Support'!$D$30:$D$31</c:f>
              <c:numCache>
                <c:formatCode>"$"#,##0</c:formatCode>
                <c:ptCount val="2"/>
                <c:pt idx="0">
                  <c:v>683902399.99999988</c:v>
                </c:pt>
                <c:pt idx="1">
                  <c:v>128274400.00000001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E8C-9888-9474DE547BD4}"/>
            </c:ext>
          </c:extLst>
        </c:ser>
        <c:ser>
          <c:idx val="1"/>
          <c:order val="1"/>
          <c:tx>
            <c:strRef>
              <c:f>'Historical GF Support'!$E$29</c:f>
              <c:strCache>
                <c:ptCount val="1"/>
                <c:pt idx="0">
                  <c:v>FY17 (Post Special Session)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Support'!$C$30:$C$31</c:f>
              <c:strCache>
                <c:ptCount val="2"/>
                <c:pt idx="0">
                  <c:v>Instruction &amp; General (I&amp;G)</c:v>
                </c:pt>
                <c:pt idx="1">
                  <c:v>Research &amp; Public Service Projects (RPSPs)</c:v>
                </c:pt>
              </c:strCache>
            </c:strRef>
          </c:cat>
          <c:val>
            <c:numRef>
              <c:f>'Historical GF Support'!$E$30:$E$31</c:f>
              <c:numCache>
                <c:formatCode>"$"#,##0</c:formatCode>
                <c:ptCount val="2"/>
                <c:pt idx="0">
                  <c:v>634201799.99999976</c:v>
                </c:pt>
                <c:pt idx="1">
                  <c:v>118058900.00000003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E8C-9888-9474DE547BD4}"/>
            </c:ext>
          </c:extLst>
        </c:ser>
        <c:ser>
          <c:idx val="2"/>
          <c:order val="2"/>
          <c:tx>
            <c:strRef>
              <c:f>'Historical GF Support'!$F$29</c:f>
              <c:strCache>
                <c:ptCount val="1"/>
                <c:pt idx="0">
                  <c:v>FY18 GAA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Support'!$C$30:$C$31</c:f>
              <c:strCache>
                <c:ptCount val="2"/>
                <c:pt idx="0">
                  <c:v>Instruction &amp; General (I&amp;G)</c:v>
                </c:pt>
                <c:pt idx="1">
                  <c:v>Research &amp; Public Service Projects (RPSPs)</c:v>
                </c:pt>
              </c:strCache>
            </c:strRef>
          </c:cat>
          <c:val>
            <c:numRef>
              <c:f>'Historical GF Support'!$F$30:$F$31</c:f>
              <c:numCache>
                <c:formatCode>"$"#,##0</c:formatCode>
                <c:ptCount val="2"/>
                <c:pt idx="0">
                  <c:v>627907900</c:v>
                </c:pt>
                <c:pt idx="1">
                  <c:v>116941000.00000027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E8C-9888-9474DE547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41"/>
        <c:axId val="1444361888"/>
        <c:axId val="-59497456"/>
      </c:barChart>
      <c:catAx>
        <c:axId val="14443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-59497456"/>
        <c:crosses val="autoZero"/>
        <c:auto val="1"/>
        <c:lblAlgn val="ctr"/>
        <c:lblOffset val="100"/>
        <c:noMultiLvlLbl val="0"/>
      </c:catAx>
      <c:valAx>
        <c:axId val="-594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144436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75575969670397"/>
          <c:y val="0.92803265131854895"/>
          <c:w val="0.47117601302407902"/>
          <c:h val="7.1967366207449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n-US"/>
              <a:t>New Mexico General Fund Support for Higher Education</a:t>
            </a:r>
          </a:p>
        </c:rich>
      </c:tx>
      <c:layout>
        <c:manualLayout>
          <c:xMode val="edge"/>
          <c:yMode val="edge"/>
          <c:x val="0.29172105350161798"/>
          <c:y val="2.29007587704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21627497411202E-2"/>
          <c:y val="0.100470817961808"/>
          <c:w val="0.91782895126181496"/>
          <c:h val="0.76186321004722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GF Support'!$C$17</c:f>
              <c:strCache>
                <c:ptCount val="1"/>
                <c:pt idx="0">
                  <c:v>I&amp;G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Support'!$D$16:$F$16</c:f>
              <c:strCache>
                <c:ptCount val="3"/>
                <c:pt idx="0">
                  <c:v>FY16 HB2</c:v>
                </c:pt>
                <c:pt idx="1">
                  <c:v>FY17 Post Special Session</c:v>
                </c:pt>
                <c:pt idx="2">
                  <c:v>FY18 GAA</c:v>
                </c:pt>
              </c:strCache>
            </c:strRef>
          </c:cat>
          <c:val>
            <c:numRef>
              <c:f>'Historical GF Support'!$D$17:$F$17</c:f>
              <c:numCache>
                <c:formatCode>"$"#,##0</c:formatCode>
                <c:ptCount val="3"/>
                <c:pt idx="0">
                  <c:v>683902399.99999988</c:v>
                </c:pt>
                <c:pt idx="1">
                  <c:v>634201799.99999976</c:v>
                </c:pt>
                <c:pt idx="2" formatCode="_(&quot;$&quot;* #,##0_);_(&quot;$&quot;* \(#,##0\);_(&quot;$&quot;* &quot;-&quot;_);_(@_)">
                  <c:v>627907900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8-41E4-B982-BEC3A1035675}"/>
            </c:ext>
          </c:extLst>
        </c:ser>
        <c:ser>
          <c:idx val="1"/>
          <c:order val="1"/>
          <c:tx>
            <c:strRef>
              <c:f>'Historical GF Support'!$C$18</c:f>
              <c:strCache>
                <c:ptCount val="1"/>
                <c:pt idx="0">
                  <c:v>RPSPs folded into I&amp;G</c:v>
                </c:pt>
              </c:strCache>
            </c:strRef>
          </c:tx>
          <c:spPr>
            <a:solidFill>
              <a:srgbClr val="1DC4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68-41E4-B982-BEC3A10356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68-41E4-B982-BEC3A1035675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Support'!$D$16:$F$16</c:f>
              <c:strCache>
                <c:ptCount val="3"/>
                <c:pt idx="0">
                  <c:v>FY16 HB2</c:v>
                </c:pt>
                <c:pt idx="1">
                  <c:v>FY17 Post Special Session</c:v>
                </c:pt>
                <c:pt idx="2">
                  <c:v>FY18 GAA</c:v>
                </c:pt>
              </c:strCache>
            </c:strRef>
          </c:cat>
          <c:val>
            <c:numRef>
              <c:f>'Historical GF Support'!$D$18:$F$18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 formatCode="_(&quot;$&quot;* #,##0_);_(&quot;$&quot;* \(#,##0\);_(&quot;$&quot;* &quot;-&quot;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8-41E4-B982-BEC3A1035675}"/>
            </c:ext>
          </c:extLst>
        </c:ser>
        <c:ser>
          <c:idx val="2"/>
          <c:order val="2"/>
          <c:tx>
            <c:strRef>
              <c:f>'Historical GF Support'!$C$19</c:f>
              <c:strCache>
                <c:ptCount val="1"/>
                <c:pt idx="0">
                  <c:v>RPSPs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Support'!$D$16:$F$16</c:f>
              <c:strCache>
                <c:ptCount val="3"/>
                <c:pt idx="0">
                  <c:v>FY16 HB2</c:v>
                </c:pt>
                <c:pt idx="1">
                  <c:v>FY17 Post Special Session</c:v>
                </c:pt>
                <c:pt idx="2">
                  <c:v>FY18 GAA</c:v>
                </c:pt>
              </c:strCache>
            </c:strRef>
          </c:cat>
          <c:val>
            <c:numRef>
              <c:f>'Historical GF Support'!$D$19:$F$19</c:f>
              <c:numCache>
                <c:formatCode>"$"#,##0</c:formatCode>
                <c:ptCount val="3"/>
                <c:pt idx="0">
                  <c:v>128274400.00000001</c:v>
                </c:pt>
                <c:pt idx="1">
                  <c:v>118059400.00000003</c:v>
                </c:pt>
                <c:pt idx="2" formatCode="_(&quot;$&quot;* #,##0_);_(&quot;$&quot;* \(#,##0\);_(&quot;$&quot;* &quot;-&quot;_);_(@_)">
                  <c:v>116941000.00000027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68-41E4-B982-BEC3A1035675}"/>
            </c:ext>
          </c:extLst>
        </c:ser>
        <c:ser>
          <c:idx val="3"/>
          <c:order val="3"/>
          <c:tx>
            <c:strRef>
              <c:f>'Historical GF Support'!$C$20</c:f>
              <c:strCache>
                <c:ptCount val="1"/>
                <c:pt idx="0">
                  <c:v>HED (Flow Through and Operations)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'Historical GF Support'!$D$16:$F$16</c:f>
              <c:strCache>
                <c:ptCount val="3"/>
                <c:pt idx="0">
                  <c:v>FY16 HB2</c:v>
                </c:pt>
                <c:pt idx="1">
                  <c:v>FY17 Post Special Session</c:v>
                </c:pt>
                <c:pt idx="2">
                  <c:v>FY18 GAA</c:v>
                </c:pt>
              </c:strCache>
            </c:strRef>
          </c:cat>
          <c:val>
            <c:numRef>
              <c:f>'Historical GF Support'!$D$20:$F$20</c:f>
              <c:numCache>
                <c:formatCode>"$"#,##0</c:formatCode>
                <c:ptCount val="3"/>
                <c:pt idx="0">
                  <c:v>36333100</c:v>
                </c:pt>
                <c:pt idx="1">
                  <c:v>34606000</c:v>
                </c:pt>
                <c:pt idx="2" formatCode="_(&quot;$&quot;* #,##0_);_(&quot;$&quot;* \(#,##0\);_(&quot;$&quot;* &quot;-&quot;_);_(@_)">
                  <c:v>34996200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68-41E4-B982-BEC3A1035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2525376"/>
        <c:axId val="-12523056"/>
      </c:barChart>
      <c:catAx>
        <c:axId val="-125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-12523056"/>
        <c:crosses val="autoZero"/>
        <c:auto val="1"/>
        <c:lblAlgn val="ctr"/>
        <c:lblOffset val="100"/>
        <c:noMultiLvlLbl val="0"/>
      </c:catAx>
      <c:valAx>
        <c:axId val="-125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-1252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7.9963501065863293E-2"/>
          <c:y val="0.94444407000575004"/>
          <c:w val="0.82009287300625899"/>
          <c:h val="5.5555929994250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44</xdr:row>
      <xdr:rowOff>182562</xdr:rowOff>
    </xdr:from>
    <xdr:to>
      <xdr:col>6</xdr:col>
      <xdr:colOff>60325</xdr:colOff>
      <xdr:row>63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615949</xdr:colOff>
      <xdr:row>25</xdr:row>
      <xdr:rowOff>133349</xdr:rowOff>
    </xdr:from>
    <xdr:to>
      <xdr:col>22</xdr:col>
      <xdr:colOff>504825</xdr:colOff>
      <xdr:row>49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37"/>
  <sheetViews>
    <sheetView tabSelected="1" workbookViewId="0">
      <selection activeCell="S3" sqref="S3"/>
    </sheetView>
  </sheetViews>
  <sheetFormatPr defaultColWidth="11" defaultRowHeight="15.75" x14ac:dyDescent="0.25"/>
  <cols>
    <col min="1" max="1" width="53.375" customWidth="1"/>
    <col min="2" max="4" width="15" style="12" hidden="1" customWidth="1"/>
    <col min="5" max="5" width="18.125" style="12" customWidth="1"/>
    <col min="6" max="6" width="15" style="12" customWidth="1"/>
    <col min="7" max="7" width="15" style="10" customWidth="1"/>
    <col min="8" max="8" width="18.125" style="163" hidden="1" customWidth="1"/>
    <col min="9" max="9" width="17.875" style="163" hidden="1" customWidth="1"/>
    <col min="10" max="10" width="18.125" style="173" hidden="1" customWidth="1"/>
    <col min="11" max="11" width="17.875" style="173" hidden="1" customWidth="1"/>
    <col min="12" max="13" width="17.875" style="163" hidden="1" customWidth="1"/>
    <col min="14" max="15" width="18.125" style="163" hidden="1" customWidth="1"/>
    <col min="16" max="16" width="15.875" style="10" hidden="1" customWidth="1"/>
    <col min="17" max="17" width="17" style="12" hidden="1" customWidth="1"/>
    <col min="18" max="18" width="17" style="12" customWidth="1"/>
    <col min="19" max="19" width="14.5" style="21" customWidth="1"/>
    <col min="20" max="42" width="11" style="21"/>
  </cols>
  <sheetData>
    <row r="1" spans="1:22" ht="15.95" customHeight="1" x14ac:dyDescent="0.3">
      <c r="A1" s="31" t="s">
        <v>229</v>
      </c>
      <c r="B1" s="32"/>
      <c r="C1" s="32"/>
      <c r="D1" s="11"/>
      <c r="E1" s="11"/>
      <c r="F1" s="11"/>
      <c r="G1" s="33"/>
      <c r="H1" s="138"/>
      <c r="I1" s="138"/>
      <c r="J1" s="176"/>
      <c r="K1" s="177"/>
      <c r="L1" s="211"/>
      <c r="M1" s="212"/>
      <c r="N1" s="138"/>
      <c r="O1" s="212"/>
      <c r="S1" s="275" t="s">
        <v>314</v>
      </c>
      <c r="T1" s="276"/>
      <c r="U1" s="276"/>
      <c r="V1" s="277"/>
    </row>
    <row r="2" spans="1:22" ht="16.5" thickBot="1" x14ac:dyDescent="0.3">
      <c r="A2" s="34" t="s">
        <v>318</v>
      </c>
      <c r="B2" s="35"/>
      <c r="C2" s="35"/>
      <c r="D2" s="204"/>
      <c r="E2" s="204"/>
      <c r="F2" s="204"/>
      <c r="G2" s="205"/>
      <c r="H2" s="175"/>
      <c r="I2" s="175"/>
      <c r="J2" s="206"/>
      <c r="K2" s="208"/>
      <c r="L2" s="213"/>
      <c r="M2" s="175"/>
      <c r="N2" s="175"/>
      <c r="O2" s="175"/>
      <c r="S2" s="263" t="s">
        <v>307</v>
      </c>
      <c r="T2" s="264" t="s">
        <v>308</v>
      </c>
      <c r="U2" s="264" t="s">
        <v>309</v>
      </c>
      <c r="V2" s="265" t="s">
        <v>313</v>
      </c>
    </row>
    <row r="3" spans="1:22" ht="60.75" thickBot="1" x14ac:dyDescent="0.3">
      <c r="A3" s="94" t="s">
        <v>0</v>
      </c>
      <c r="B3" s="110" t="s">
        <v>1</v>
      </c>
      <c r="C3" s="111" t="s">
        <v>2</v>
      </c>
      <c r="D3" s="207" t="s">
        <v>277</v>
      </c>
      <c r="E3" s="112" t="s">
        <v>285</v>
      </c>
      <c r="F3" s="112" t="s">
        <v>276</v>
      </c>
      <c r="G3" s="113" t="s">
        <v>3</v>
      </c>
      <c r="H3" s="210" t="s">
        <v>278</v>
      </c>
      <c r="I3" s="165" t="s">
        <v>279</v>
      </c>
      <c r="J3" s="178" t="s">
        <v>281</v>
      </c>
      <c r="K3" s="178" t="s">
        <v>282</v>
      </c>
      <c r="L3" s="165" t="s">
        <v>299</v>
      </c>
      <c r="M3" s="210" t="s">
        <v>300</v>
      </c>
      <c r="N3" s="210" t="s">
        <v>304</v>
      </c>
      <c r="O3" s="210" t="s">
        <v>321</v>
      </c>
      <c r="P3" s="220" t="s">
        <v>316</v>
      </c>
      <c r="Q3" s="221" t="s">
        <v>317</v>
      </c>
      <c r="R3" s="270" t="s">
        <v>322</v>
      </c>
      <c r="S3" s="266">
        <v>0</v>
      </c>
      <c r="T3" s="266">
        <v>0</v>
      </c>
      <c r="U3" s="266">
        <v>0</v>
      </c>
      <c r="V3" s="266">
        <v>0</v>
      </c>
    </row>
    <row r="4" spans="1:22" x14ac:dyDescent="0.25">
      <c r="A4" s="70" t="s">
        <v>4</v>
      </c>
      <c r="B4" s="74"/>
      <c r="C4" s="93"/>
      <c r="D4" s="13"/>
      <c r="E4" s="13"/>
      <c r="F4" s="13"/>
      <c r="G4" s="2"/>
      <c r="H4" s="152"/>
      <c r="I4" s="139"/>
      <c r="J4" s="179">
        <v>954</v>
      </c>
      <c r="K4" s="179"/>
      <c r="L4" s="139"/>
      <c r="M4" s="152"/>
      <c r="N4" s="152"/>
      <c r="O4" s="152"/>
      <c r="P4" s="222"/>
      <c r="Q4" s="227"/>
      <c r="R4" s="152"/>
    </row>
    <row r="5" spans="1:22" x14ac:dyDescent="0.25">
      <c r="A5" s="71" t="s">
        <v>5</v>
      </c>
      <c r="B5" s="14">
        <f>B218</f>
        <v>38761.800000000003</v>
      </c>
      <c r="C5" s="16">
        <f>C218</f>
        <v>38529.665894434482</v>
      </c>
      <c r="D5" s="14">
        <f>D218</f>
        <v>37766.6</v>
      </c>
      <c r="E5" s="14">
        <v>35878.199999999997</v>
      </c>
      <c r="F5" s="16">
        <f>D5-E5</f>
        <v>1888.4000000000015</v>
      </c>
      <c r="G5" s="3">
        <f t="shared" ref="G5:G27" si="0">IFERROR(((+E5-B5)/B5),0)</f>
        <v>-7.439283005433199E-2</v>
      </c>
      <c r="H5" s="140">
        <f>H218</f>
        <v>35537.100000000006</v>
      </c>
      <c r="I5" s="140">
        <v>35537.100000000006</v>
      </c>
      <c r="J5" s="4">
        <f t="shared" ref="J5:J27" si="1">(H5-E5)/E5</f>
        <v>-9.5071659113331024E-3</v>
      </c>
      <c r="K5" s="4">
        <f t="shared" ref="K5:K27" si="2">(I5-E5)/E5</f>
        <v>-9.5071659113331024E-3</v>
      </c>
      <c r="L5" s="140">
        <f>L218</f>
        <v>35704.399999999994</v>
      </c>
      <c r="M5" s="140">
        <f>M218</f>
        <v>35704.399999999994</v>
      </c>
      <c r="N5" s="140">
        <f>N218</f>
        <v>35537.100000000006</v>
      </c>
      <c r="O5" s="140">
        <f>O218</f>
        <v>35537.100000000006</v>
      </c>
      <c r="P5" s="226">
        <f>1-O5/N5</f>
        <v>0</v>
      </c>
      <c r="Q5" s="74">
        <f>O5-N5</f>
        <v>0</v>
      </c>
      <c r="R5" s="140">
        <v>35537.100000000006</v>
      </c>
    </row>
    <row r="6" spans="1:22" x14ac:dyDescent="0.25">
      <c r="A6" s="71" t="s">
        <v>6</v>
      </c>
      <c r="B6" s="14">
        <f>B155</f>
        <v>208267.50000000003</v>
      </c>
      <c r="C6" s="16">
        <f>C155</f>
        <v>207020.24136312376</v>
      </c>
      <c r="D6" s="14">
        <f>D155</f>
        <v>202855.19999999998</v>
      </c>
      <c r="E6" s="14">
        <f>E155</f>
        <v>192695.69999999998</v>
      </c>
      <c r="F6" s="16">
        <f t="shared" ref="F6:F40" si="3">D6-E6</f>
        <v>10159.5</v>
      </c>
      <c r="G6" s="3">
        <f t="shared" si="0"/>
        <v>-7.4768266772300265E-2</v>
      </c>
      <c r="H6" s="140">
        <f>H155</f>
        <v>190633.49999999994</v>
      </c>
      <c r="I6" s="140">
        <v>190633.49999999997</v>
      </c>
      <c r="J6" s="4">
        <f t="shared" si="1"/>
        <v>-1.0701847524361161E-2</v>
      </c>
      <c r="K6" s="4">
        <f t="shared" si="2"/>
        <v>-1.070184752436101E-2</v>
      </c>
      <c r="L6" s="140">
        <f>L155</f>
        <v>192067.7</v>
      </c>
      <c r="M6" s="140">
        <f>M155</f>
        <v>192067.7</v>
      </c>
      <c r="N6" s="140">
        <f>N155</f>
        <v>190633.49999999997</v>
      </c>
      <c r="O6" s="140">
        <f>O155</f>
        <v>190633.49999999997</v>
      </c>
      <c r="P6" s="223">
        <f t="shared" ref="P6:P64" si="4">1-O6/N6</f>
        <v>0</v>
      </c>
      <c r="Q6" s="74">
        <f t="shared" ref="Q6:Q40" si="5">O6-N6</f>
        <v>0</v>
      </c>
      <c r="R6" s="140">
        <v>190633.49999999997</v>
      </c>
    </row>
    <row r="7" spans="1:22" x14ac:dyDescent="0.25">
      <c r="A7" s="71" t="s">
        <v>7</v>
      </c>
      <c r="B7" s="14">
        <f>B101</f>
        <v>222073.29999999993</v>
      </c>
      <c r="C7" s="16">
        <f>C101</f>
        <v>220743.3621006897</v>
      </c>
      <c r="D7" s="14">
        <f>D101</f>
        <v>216519.70000000004</v>
      </c>
      <c r="E7" s="14">
        <f>E101</f>
        <v>205601.99999999997</v>
      </c>
      <c r="F7" s="16">
        <f t="shared" si="3"/>
        <v>10917.70000000007</v>
      </c>
      <c r="G7" s="3">
        <f t="shared" si="0"/>
        <v>-7.4170555397699608E-2</v>
      </c>
      <c r="H7" s="140">
        <f>H101</f>
        <v>203651.1</v>
      </c>
      <c r="I7" s="140">
        <v>203651.09999999998</v>
      </c>
      <c r="J7" s="4">
        <f t="shared" si="1"/>
        <v>-9.4887209268390647E-3</v>
      </c>
      <c r="K7" s="4">
        <f t="shared" si="2"/>
        <v>-9.4887209268392069E-3</v>
      </c>
      <c r="L7" s="140">
        <f>L101</f>
        <v>205476.6</v>
      </c>
      <c r="M7" s="140">
        <f>M101</f>
        <v>205476.6</v>
      </c>
      <c r="N7" s="140">
        <f>N101</f>
        <v>203651.1</v>
      </c>
      <c r="O7" s="140">
        <f>O101</f>
        <v>203651.1</v>
      </c>
      <c r="P7" s="223">
        <f t="shared" si="4"/>
        <v>0</v>
      </c>
      <c r="Q7" s="74">
        <f t="shared" si="5"/>
        <v>0</v>
      </c>
      <c r="R7" s="140">
        <v>203651.1</v>
      </c>
      <c r="S7" s="259"/>
    </row>
    <row r="8" spans="1:22" x14ac:dyDescent="0.25">
      <c r="A8" s="71" t="s">
        <v>8</v>
      </c>
      <c r="B8" s="14">
        <f>B120</f>
        <v>95956.599999999977</v>
      </c>
      <c r="C8" s="16">
        <f>C120</f>
        <v>95381.941456947068</v>
      </c>
      <c r="D8" s="14">
        <f>D120</f>
        <v>93757.200000000012</v>
      </c>
      <c r="E8" s="14">
        <f>E120</f>
        <v>89069.39999999998</v>
      </c>
      <c r="F8" s="16">
        <f t="shared" si="3"/>
        <v>4687.800000000032</v>
      </c>
      <c r="G8" s="3">
        <f t="shared" si="0"/>
        <v>-7.1774114547618395E-2</v>
      </c>
      <c r="H8" s="140">
        <f>H120</f>
        <v>88181.2</v>
      </c>
      <c r="I8" s="140">
        <v>88181.2</v>
      </c>
      <c r="J8" s="4">
        <f t="shared" si="1"/>
        <v>-9.9719993622948248E-3</v>
      </c>
      <c r="K8" s="4">
        <f t="shared" si="2"/>
        <v>-9.9719993622948248E-3</v>
      </c>
      <c r="L8" s="140">
        <f>L120</f>
        <v>86620.799999999988</v>
      </c>
      <c r="M8" s="140">
        <f>M120</f>
        <v>86620.799999999988</v>
      </c>
      <c r="N8" s="140">
        <f>N120</f>
        <v>88181.2</v>
      </c>
      <c r="O8" s="140">
        <f>O120</f>
        <v>88231.2</v>
      </c>
      <c r="P8" s="223">
        <f t="shared" si="4"/>
        <v>-5.6701428422378797E-4</v>
      </c>
      <c r="Q8" s="74">
        <f t="shared" si="5"/>
        <v>50</v>
      </c>
      <c r="R8" s="140">
        <v>88231.2</v>
      </c>
    </row>
    <row r="9" spans="1:22" x14ac:dyDescent="0.25">
      <c r="A9" s="71" t="s">
        <v>9</v>
      </c>
      <c r="B9" s="14">
        <f>B200</f>
        <v>46956.399999999987</v>
      </c>
      <c r="C9" s="16">
        <f>C200</f>
        <v>46675.190615642794</v>
      </c>
      <c r="D9" s="14">
        <f>D200</f>
        <v>45602.30000000001</v>
      </c>
      <c r="E9" s="14">
        <f>E200</f>
        <v>43316.399999999994</v>
      </c>
      <c r="F9" s="16">
        <f t="shared" si="3"/>
        <v>2285.900000000016</v>
      </c>
      <c r="G9" s="3">
        <f t="shared" si="0"/>
        <v>-7.7518719492976326E-2</v>
      </c>
      <c r="H9" s="140">
        <f>H200</f>
        <v>42893.400000000009</v>
      </c>
      <c r="I9" s="140">
        <v>42893.4</v>
      </c>
      <c r="J9" s="4">
        <f t="shared" si="1"/>
        <v>-9.7653544615892707E-3</v>
      </c>
      <c r="K9" s="4">
        <f t="shared" si="2"/>
        <v>-9.7653544615894389E-3</v>
      </c>
      <c r="L9" s="140">
        <f>L200</f>
        <v>43175.799999999996</v>
      </c>
      <c r="M9" s="140">
        <f>M200</f>
        <v>43175.799999999996</v>
      </c>
      <c r="N9" s="140">
        <f>N200</f>
        <v>42893.400000000009</v>
      </c>
      <c r="O9" s="140">
        <f>O200</f>
        <v>42893.400000000009</v>
      </c>
      <c r="P9" s="223">
        <f t="shared" si="4"/>
        <v>0</v>
      </c>
      <c r="Q9" s="74">
        <f t="shared" si="5"/>
        <v>0</v>
      </c>
      <c r="R9" s="140">
        <v>42893.400000000009</v>
      </c>
    </row>
    <row r="10" spans="1:22" x14ac:dyDescent="0.25">
      <c r="A10" s="71" t="s">
        <v>10</v>
      </c>
      <c r="B10" s="14">
        <f>B166</f>
        <v>31751.600000000002</v>
      </c>
      <c r="C10" s="16">
        <f>C166</f>
        <v>31561.448116798645</v>
      </c>
      <c r="D10" s="14">
        <f>D166</f>
        <v>30933.199999999997</v>
      </c>
      <c r="E10" s="14">
        <f>E166</f>
        <v>29375.499999999996</v>
      </c>
      <c r="F10" s="16">
        <f t="shared" si="3"/>
        <v>1557.7000000000007</v>
      </c>
      <c r="G10" s="3">
        <f t="shared" si="0"/>
        <v>-7.4834024112170897E-2</v>
      </c>
      <c r="H10" s="140">
        <f>H166</f>
        <v>29090.9</v>
      </c>
      <c r="I10" s="140">
        <v>29090.899999999998</v>
      </c>
      <c r="J10" s="4">
        <f t="shared" si="1"/>
        <v>-9.688345730285269E-3</v>
      </c>
      <c r="K10" s="4">
        <f t="shared" si="2"/>
        <v>-9.6883457302853939E-3</v>
      </c>
      <c r="L10" s="140">
        <f>L166</f>
        <v>29072.6</v>
      </c>
      <c r="M10" s="140">
        <f>M166</f>
        <v>29072.6</v>
      </c>
      <c r="N10" s="140">
        <f>N166</f>
        <v>29090.9</v>
      </c>
      <c r="O10" s="140">
        <f>O166</f>
        <v>29090.9</v>
      </c>
      <c r="P10" s="223">
        <f t="shared" si="4"/>
        <v>0</v>
      </c>
      <c r="Q10" s="74">
        <f t="shared" si="5"/>
        <v>0</v>
      </c>
      <c r="R10" s="140">
        <v>29090.9</v>
      </c>
    </row>
    <row r="11" spans="1:22" x14ac:dyDescent="0.25">
      <c r="A11" s="71" t="s">
        <v>11</v>
      </c>
      <c r="B11" s="14">
        <f>B230</f>
        <v>11542.000000000002</v>
      </c>
      <c r="C11" s="16">
        <f>C230</f>
        <v>11472.878033361783</v>
      </c>
      <c r="D11" s="14">
        <f>D230</f>
        <v>11264.600000000002</v>
      </c>
      <c r="E11" s="14">
        <f>E230</f>
        <v>10627.300000000001</v>
      </c>
      <c r="F11" s="16">
        <f t="shared" si="3"/>
        <v>637.30000000000109</v>
      </c>
      <c r="G11" s="3">
        <f t="shared" si="0"/>
        <v>-7.9249696759660426E-2</v>
      </c>
      <c r="H11" s="140">
        <f>H230</f>
        <v>10438.299999999999</v>
      </c>
      <c r="I11" s="140">
        <v>10438.299999999999</v>
      </c>
      <c r="J11" s="4">
        <f t="shared" si="1"/>
        <v>-1.778438549772772E-2</v>
      </c>
      <c r="K11" s="4">
        <f t="shared" si="2"/>
        <v>-1.778438549772772E-2</v>
      </c>
      <c r="L11" s="140">
        <f>L230</f>
        <v>10173.200000000001</v>
      </c>
      <c r="M11" s="140">
        <f>M230</f>
        <v>10173.200000000001</v>
      </c>
      <c r="N11" s="140">
        <f>N230</f>
        <v>10438.299999999999</v>
      </c>
      <c r="O11" s="140">
        <f>O230</f>
        <v>10438.299999999999</v>
      </c>
      <c r="P11" s="223">
        <f t="shared" si="4"/>
        <v>0</v>
      </c>
      <c r="Q11" s="74">
        <f t="shared" si="5"/>
        <v>0</v>
      </c>
      <c r="R11" s="140">
        <v>10438.299999999999</v>
      </c>
    </row>
    <row r="12" spans="1:22" x14ac:dyDescent="0.25">
      <c r="A12" s="71" t="s">
        <v>12</v>
      </c>
      <c r="B12" s="14">
        <f>B178</f>
        <v>20681</v>
      </c>
      <c r="C12" s="16">
        <f>C178</f>
        <v>20557.146994277853</v>
      </c>
      <c r="D12" s="14">
        <f>D178</f>
        <v>20159.900000000001</v>
      </c>
      <c r="E12" s="14">
        <f>E178</f>
        <v>19151.899999999998</v>
      </c>
      <c r="F12" s="16">
        <f t="shared" si="3"/>
        <v>1008.0000000000036</v>
      </c>
      <c r="G12" s="3">
        <f t="shared" si="0"/>
        <v>-7.3937430491755829E-2</v>
      </c>
      <c r="H12" s="140">
        <f>H178</f>
        <v>19000.600000000002</v>
      </c>
      <c r="I12" s="140">
        <v>19000.599999999999</v>
      </c>
      <c r="J12" s="4">
        <f t="shared" si="1"/>
        <v>-7.899999477858367E-3</v>
      </c>
      <c r="K12" s="4">
        <f t="shared" si="2"/>
        <v>-7.8999994778585561E-3</v>
      </c>
      <c r="L12" s="140">
        <f>L178</f>
        <v>19037.5</v>
      </c>
      <c r="M12" s="140">
        <f>M178</f>
        <v>19037.5</v>
      </c>
      <c r="N12" s="140">
        <f>N178</f>
        <v>19000.600000000002</v>
      </c>
      <c r="O12" s="140">
        <f>O178</f>
        <v>19000.600000000002</v>
      </c>
      <c r="P12" s="223">
        <f t="shared" si="4"/>
        <v>0</v>
      </c>
      <c r="Q12" s="74">
        <f t="shared" si="5"/>
        <v>0</v>
      </c>
      <c r="R12" s="140">
        <v>19000.600000000002</v>
      </c>
    </row>
    <row r="13" spans="1:22" x14ac:dyDescent="0.25">
      <c r="A13" s="71" t="s">
        <v>13</v>
      </c>
      <c r="B13" s="14">
        <f>B246</f>
        <v>57143.3</v>
      </c>
      <c r="C13" s="16">
        <f>C246</f>
        <v>56801.083982308286</v>
      </c>
      <c r="D13" s="14">
        <f>D246</f>
        <v>56080.4</v>
      </c>
      <c r="E13" s="14">
        <f>E246</f>
        <v>53276.3</v>
      </c>
      <c r="F13" s="16">
        <f t="shared" si="3"/>
        <v>2804.0999999999985</v>
      </c>
      <c r="G13" s="3">
        <f t="shared" si="0"/>
        <v>-6.7671975542189539E-2</v>
      </c>
      <c r="H13" s="140">
        <f>H246</f>
        <v>52995.4</v>
      </c>
      <c r="I13" s="140">
        <v>52995.4</v>
      </c>
      <c r="J13" s="4">
        <f t="shared" si="1"/>
        <v>-5.2725132939036952E-3</v>
      </c>
      <c r="K13" s="4">
        <f t="shared" si="2"/>
        <v>-5.2725132939036952E-3</v>
      </c>
      <c r="L13" s="140">
        <f>L246</f>
        <v>53771.799999999996</v>
      </c>
      <c r="M13" s="140">
        <f>M246</f>
        <v>53771.799999999996</v>
      </c>
      <c r="N13" s="140">
        <f>N246</f>
        <v>52995.4</v>
      </c>
      <c r="O13" s="140">
        <f>O246</f>
        <v>52995.4</v>
      </c>
      <c r="P13" s="223">
        <f t="shared" si="4"/>
        <v>0</v>
      </c>
      <c r="Q13" s="74">
        <f t="shared" si="5"/>
        <v>0</v>
      </c>
      <c r="R13" s="140">
        <v>52995.4</v>
      </c>
    </row>
    <row r="14" spans="1:22" x14ac:dyDescent="0.25">
      <c r="A14" s="71" t="s">
        <v>14</v>
      </c>
      <c r="B14" s="14">
        <f>B285</f>
        <v>10242.6</v>
      </c>
      <c r="C14" s="16">
        <f>C285</f>
        <v>10181.259794187437</v>
      </c>
      <c r="D14" s="14">
        <f>D285</f>
        <v>9994.8000000000011</v>
      </c>
      <c r="E14" s="14">
        <f>E285</f>
        <v>9487.8000000000011</v>
      </c>
      <c r="F14" s="16">
        <f t="shared" si="3"/>
        <v>507</v>
      </c>
      <c r="G14" s="3">
        <f t="shared" si="0"/>
        <v>-7.3692226583094059E-2</v>
      </c>
      <c r="H14" s="140">
        <f>H285</f>
        <v>9367</v>
      </c>
      <c r="I14" s="140">
        <v>9367</v>
      </c>
      <c r="J14" s="4">
        <f t="shared" si="1"/>
        <v>-1.2732140222180176E-2</v>
      </c>
      <c r="K14" s="4">
        <f t="shared" si="2"/>
        <v>-1.2732140222180176E-2</v>
      </c>
      <c r="L14" s="140">
        <f>L285</f>
        <v>9417.2999999999993</v>
      </c>
      <c r="M14" s="140">
        <f>M285</f>
        <v>9417.2999999999993</v>
      </c>
      <c r="N14" s="140">
        <f>N285</f>
        <v>9367</v>
      </c>
      <c r="O14" s="140">
        <f>O285</f>
        <v>9367</v>
      </c>
      <c r="P14" s="223">
        <f t="shared" si="4"/>
        <v>0</v>
      </c>
      <c r="Q14" s="74">
        <f t="shared" si="5"/>
        <v>0</v>
      </c>
      <c r="R14" s="140">
        <v>9367</v>
      </c>
    </row>
    <row r="15" spans="1:22" x14ac:dyDescent="0.25">
      <c r="A15" s="71" t="s">
        <v>15</v>
      </c>
      <c r="B15" s="14">
        <f>B255</f>
        <v>8780.7999999999993</v>
      </c>
      <c r="C15" s="16">
        <f>C255</f>
        <v>8728.2141253979498</v>
      </c>
      <c r="D15" s="14">
        <f>D255</f>
        <v>8490.2000000000007</v>
      </c>
      <c r="E15" s="14">
        <f>E255</f>
        <v>8065.7</v>
      </c>
      <c r="F15" s="16">
        <f t="shared" si="3"/>
        <v>424.50000000000091</v>
      </c>
      <c r="G15" s="3">
        <f t="shared" si="0"/>
        <v>-8.143904883381918E-2</v>
      </c>
      <c r="H15" s="140">
        <f>H255</f>
        <v>7910.9</v>
      </c>
      <c r="I15" s="140">
        <v>7910.9</v>
      </c>
      <c r="J15" s="4">
        <f t="shared" si="1"/>
        <v>-1.9192382558240472E-2</v>
      </c>
      <c r="K15" s="4">
        <f t="shared" si="2"/>
        <v>-1.9192382558240472E-2</v>
      </c>
      <c r="L15" s="140">
        <f>L255</f>
        <v>7359.9</v>
      </c>
      <c r="M15" s="140">
        <f>M255</f>
        <v>7359.9</v>
      </c>
      <c r="N15" s="140">
        <f>N255</f>
        <v>7910.9</v>
      </c>
      <c r="O15" s="140">
        <f>O255</f>
        <v>7910.9</v>
      </c>
      <c r="P15" s="223">
        <f t="shared" si="4"/>
        <v>0</v>
      </c>
      <c r="Q15" s="74">
        <f t="shared" si="5"/>
        <v>0</v>
      </c>
      <c r="R15" s="140">
        <v>7910.9</v>
      </c>
    </row>
    <row r="16" spans="1:22" x14ac:dyDescent="0.25">
      <c r="A16" s="71" t="s">
        <v>16</v>
      </c>
      <c r="B16" s="14">
        <f>B263</f>
        <v>4567.1000000000004</v>
      </c>
      <c r="C16" s="16">
        <f>C263</f>
        <v>4539.748853419389</v>
      </c>
      <c r="D16" s="14">
        <f>D263</f>
        <v>4416.8</v>
      </c>
      <c r="E16" s="14">
        <f>E263</f>
        <v>4196</v>
      </c>
      <c r="F16" s="16">
        <f>D16-E16</f>
        <v>220.80000000000018</v>
      </c>
      <c r="G16" s="3">
        <f t="shared" si="0"/>
        <v>-8.1255063388145726E-2</v>
      </c>
      <c r="H16" s="140">
        <f>H263</f>
        <v>4114.7999999999993</v>
      </c>
      <c r="I16" s="140">
        <v>4114.8</v>
      </c>
      <c r="J16" s="4">
        <f t="shared" si="1"/>
        <v>-1.9351763584366237E-2</v>
      </c>
      <c r="K16" s="4">
        <f t="shared" si="2"/>
        <v>-1.9351763584366018E-2</v>
      </c>
      <c r="L16" s="140">
        <f>L263</f>
        <v>4105.7</v>
      </c>
      <c r="M16" s="140">
        <f>M263</f>
        <v>4105.7</v>
      </c>
      <c r="N16" s="140">
        <f>N263</f>
        <v>4114.7999999999993</v>
      </c>
      <c r="O16" s="140">
        <f>O263</f>
        <v>4114.7999999999993</v>
      </c>
      <c r="P16" s="223">
        <f t="shared" si="4"/>
        <v>0</v>
      </c>
      <c r="Q16" s="74">
        <f t="shared" si="5"/>
        <v>0</v>
      </c>
      <c r="R16" s="140">
        <v>4114.7999999999993</v>
      </c>
    </row>
    <row r="17" spans="1:20" x14ac:dyDescent="0.25">
      <c r="A17" s="71" t="s">
        <v>17</v>
      </c>
      <c r="B17" s="14">
        <f>B272</f>
        <v>6612.9999999999991</v>
      </c>
      <c r="C17" s="16">
        <f>C272</f>
        <v>6573.3965027396853</v>
      </c>
      <c r="D17" s="14">
        <f>D272</f>
        <v>6454.0999999999995</v>
      </c>
      <c r="E17" s="14">
        <f>E272</f>
        <v>6131.4000000000005</v>
      </c>
      <c r="F17" s="16">
        <f t="shared" si="3"/>
        <v>322.69999999999891</v>
      </c>
      <c r="G17" s="3">
        <f t="shared" si="0"/>
        <v>-7.2826251323151153E-2</v>
      </c>
      <c r="H17" s="140">
        <f>H272</f>
        <v>6078</v>
      </c>
      <c r="I17" s="140">
        <v>6078</v>
      </c>
      <c r="J17" s="4">
        <f t="shared" si="1"/>
        <v>-8.7092670515706919E-3</v>
      </c>
      <c r="K17" s="4">
        <f t="shared" si="2"/>
        <v>-8.7092670515706919E-3</v>
      </c>
      <c r="L17" s="140">
        <f>L272</f>
        <v>6095.8999999999987</v>
      </c>
      <c r="M17" s="140">
        <f>M272</f>
        <v>6095.9</v>
      </c>
      <c r="N17" s="140">
        <f>N272</f>
        <v>6078</v>
      </c>
      <c r="O17" s="140">
        <f>O272</f>
        <v>6078</v>
      </c>
      <c r="P17" s="223">
        <f t="shared" si="4"/>
        <v>0</v>
      </c>
      <c r="Q17" s="74">
        <f t="shared" si="5"/>
        <v>0</v>
      </c>
      <c r="R17" s="140">
        <v>6078</v>
      </c>
    </row>
    <row r="18" spans="1:20" x14ac:dyDescent="0.25">
      <c r="A18" s="71" t="s">
        <v>18</v>
      </c>
      <c r="B18" s="14">
        <f>B279</f>
        <v>25220.3</v>
      </c>
      <c r="C18" s="16">
        <f>C279</f>
        <v>25069.262334499577</v>
      </c>
      <c r="D18" s="14">
        <f>D279</f>
        <v>24613.200000000004</v>
      </c>
      <c r="E18" s="14">
        <f>E279</f>
        <v>23240.100000000002</v>
      </c>
      <c r="F18" s="16">
        <f t="shared" si="3"/>
        <v>1373.1000000000022</v>
      </c>
      <c r="G18" s="3">
        <f t="shared" si="0"/>
        <v>-7.8516115985931847E-2</v>
      </c>
      <c r="H18" s="140">
        <f>H279</f>
        <v>22907.4</v>
      </c>
      <c r="I18" s="140">
        <v>22907.4</v>
      </c>
      <c r="J18" s="4">
        <f t="shared" si="1"/>
        <v>-1.4315773167929599E-2</v>
      </c>
      <c r="K18" s="4">
        <f t="shared" si="2"/>
        <v>-1.4315773167929599E-2</v>
      </c>
      <c r="L18" s="140">
        <f>L279</f>
        <v>23013.4</v>
      </c>
      <c r="M18" s="140">
        <f>M279</f>
        <v>23013.4</v>
      </c>
      <c r="N18" s="140">
        <f>N279</f>
        <v>22907.4</v>
      </c>
      <c r="O18" s="140">
        <f>O279</f>
        <v>22907.4</v>
      </c>
      <c r="P18" s="223">
        <f t="shared" si="4"/>
        <v>0</v>
      </c>
      <c r="Q18" s="74">
        <f t="shared" si="5"/>
        <v>0</v>
      </c>
      <c r="R18" s="140">
        <v>22907.4</v>
      </c>
    </row>
    <row r="19" spans="1:20" ht="16.5" thickBot="1" x14ac:dyDescent="0.3">
      <c r="A19" s="71" t="s">
        <v>19</v>
      </c>
      <c r="B19" s="14">
        <f>B240</f>
        <v>14908.3</v>
      </c>
      <c r="C19" s="16">
        <f>C240</f>
        <v>14819.018158444589</v>
      </c>
      <c r="D19" s="14">
        <f>D240</f>
        <v>14458.899999999998</v>
      </c>
      <c r="E19" s="14">
        <f>E240</f>
        <v>13736</v>
      </c>
      <c r="F19" s="16">
        <f t="shared" si="3"/>
        <v>722.89999999999782</v>
      </c>
      <c r="G19" s="3">
        <f t="shared" si="0"/>
        <v>-7.863404948921067E-2</v>
      </c>
      <c r="H19" s="140">
        <f>H240</f>
        <v>13629.9</v>
      </c>
      <c r="I19" s="140">
        <v>13629.9</v>
      </c>
      <c r="J19" s="4">
        <f t="shared" si="1"/>
        <v>-7.7242283051834858E-3</v>
      </c>
      <c r="K19" s="4">
        <f t="shared" si="2"/>
        <v>-7.7242283051834858E-3</v>
      </c>
      <c r="L19" s="140">
        <f>L240</f>
        <v>13773.2</v>
      </c>
      <c r="M19" s="140">
        <f>M240</f>
        <v>13773.2</v>
      </c>
      <c r="N19" s="140">
        <f>N240</f>
        <v>13629.9</v>
      </c>
      <c r="O19" s="140">
        <f>O240</f>
        <v>13629.9</v>
      </c>
      <c r="P19" s="224">
        <f t="shared" si="4"/>
        <v>0</v>
      </c>
      <c r="Q19" s="114">
        <f t="shared" si="5"/>
        <v>0</v>
      </c>
      <c r="R19" s="140">
        <v>13629.9</v>
      </c>
    </row>
    <row r="20" spans="1:20" ht="16.5" thickBot="1" x14ac:dyDescent="0.3">
      <c r="A20" s="81" t="s">
        <v>20</v>
      </c>
      <c r="B20" s="15">
        <f>SUM(B5:B19)</f>
        <v>803465.60000000009</v>
      </c>
      <c r="C20" s="17">
        <f>SUM(C5:C19)</f>
        <v>798653.85832627292</v>
      </c>
      <c r="D20" s="17">
        <f>SUM(D5:D19)</f>
        <v>783367.1</v>
      </c>
      <c r="E20" s="15">
        <f>SUM(E5:E19)</f>
        <v>743849.7</v>
      </c>
      <c r="F20" s="15">
        <f>SUM(F5:F19)</f>
        <v>39517.400000000111</v>
      </c>
      <c r="G20" s="20">
        <f t="shared" si="0"/>
        <v>-7.4198447326183137E-2</v>
      </c>
      <c r="H20" s="141">
        <f>SUM(H5:H19)</f>
        <v>736429.50000000012</v>
      </c>
      <c r="I20" s="141">
        <f>SUM(I5:I19)</f>
        <v>736429.50000000012</v>
      </c>
      <c r="J20" s="20">
        <f t="shared" si="1"/>
        <v>-9.9754022889299247E-3</v>
      </c>
      <c r="K20" s="20">
        <f t="shared" si="2"/>
        <v>-9.9754022889299247E-3</v>
      </c>
      <c r="L20" s="141">
        <f>SUM(L5:L19)</f>
        <v>738865.8</v>
      </c>
      <c r="M20" s="141">
        <f>SUM(M5:M19)</f>
        <v>738865.8</v>
      </c>
      <c r="N20" s="141">
        <f>SUM(N5:N19)</f>
        <v>736429.50000000012</v>
      </c>
      <c r="O20" s="141">
        <f>SUM(O5:O19)</f>
        <v>736479.50000000012</v>
      </c>
      <c r="P20" s="236">
        <f t="shared" si="4"/>
        <v>-6.7895161722786312E-5</v>
      </c>
      <c r="Q20" s="239">
        <f t="shared" si="5"/>
        <v>50</v>
      </c>
      <c r="R20" s="141">
        <v>736479.50000000012</v>
      </c>
      <c r="S20" s="164"/>
    </row>
    <row r="21" spans="1:20" x14ac:dyDescent="0.25">
      <c r="A21" s="71" t="s">
        <v>21</v>
      </c>
      <c r="B21" s="14">
        <f>B291</f>
        <v>3028.8</v>
      </c>
      <c r="C21" s="16">
        <v>3010.7</v>
      </c>
      <c r="D21" s="14">
        <v>3021.8</v>
      </c>
      <c r="E21" s="14">
        <f>E291</f>
        <v>2870.7</v>
      </c>
      <c r="F21" s="16">
        <f t="shared" si="3"/>
        <v>151.10000000000036</v>
      </c>
      <c r="G21" s="4">
        <f t="shared" si="0"/>
        <v>-5.2198890649762401E-2</v>
      </c>
      <c r="H21" s="140">
        <f>H291</f>
        <v>2856.4</v>
      </c>
      <c r="I21" s="140">
        <f>I291</f>
        <v>2856.4</v>
      </c>
      <c r="J21" s="4">
        <f t="shared" si="1"/>
        <v>-4.981363430522078E-3</v>
      </c>
      <c r="K21" s="4">
        <f t="shared" si="2"/>
        <v>-4.981363430522078E-3</v>
      </c>
      <c r="L21" s="140">
        <f>L291</f>
        <v>2864.2</v>
      </c>
      <c r="M21" s="140">
        <f>M291</f>
        <v>2864.2</v>
      </c>
      <c r="N21" s="140">
        <f>N291</f>
        <v>2856.4</v>
      </c>
      <c r="O21" s="140">
        <f>O291</f>
        <v>2856.4</v>
      </c>
      <c r="P21" s="222">
        <f t="shared" si="4"/>
        <v>0</v>
      </c>
      <c r="Q21" s="79">
        <f t="shared" si="5"/>
        <v>0</v>
      </c>
      <c r="R21" s="140">
        <v>2856.4</v>
      </c>
      <c r="S21" s="164"/>
    </row>
    <row r="22" spans="1:20" x14ac:dyDescent="0.25">
      <c r="A22" s="71" t="s">
        <v>22</v>
      </c>
      <c r="B22" s="14">
        <f>B302</f>
        <v>4290.8999999999996</v>
      </c>
      <c r="C22" s="16">
        <v>4265.2</v>
      </c>
      <c r="D22" s="14">
        <v>4290.8999999999996</v>
      </c>
      <c r="E22" s="14">
        <f>E302</f>
        <v>4076.4</v>
      </c>
      <c r="F22" s="16">
        <f t="shared" si="3"/>
        <v>214.49999999999955</v>
      </c>
      <c r="G22" s="4">
        <f t="shared" si="0"/>
        <v>-4.9989512689645424E-2</v>
      </c>
      <c r="H22" s="140">
        <f>H302</f>
        <v>4055.9</v>
      </c>
      <c r="I22" s="140">
        <f>I302</f>
        <v>4055.9</v>
      </c>
      <c r="J22" s="4">
        <f t="shared" si="1"/>
        <v>-5.0289471101952702E-3</v>
      </c>
      <c r="K22" s="4">
        <f t="shared" si="2"/>
        <v>-5.0289471101952702E-3</v>
      </c>
      <c r="L22" s="140">
        <f>L302</f>
        <v>4076.4</v>
      </c>
      <c r="M22" s="140">
        <f>M302</f>
        <v>4076.4</v>
      </c>
      <c r="N22" s="140">
        <f>N302</f>
        <v>4055.9</v>
      </c>
      <c r="O22" s="140">
        <f>O302</f>
        <v>4055.9</v>
      </c>
      <c r="P22" s="223">
        <f t="shared" si="4"/>
        <v>0</v>
      </c>
      <c r="Q22" s="74">
        <f t="shared" si="5"/>
        <v>0</v>
      </c>
      <c r="R22" s="140">
        <v>4055.9</v>
      </c>
    </row>
    <row r="23" spans="1:20" ht="16.5" thickBot="1" x14ac:dyDescent="0.3">
      <c r="A23" s="71" t="s">
        <v>23</v>
      </c>
      <c r="B23" s="14">
        <f>B297</f>
        <v>1391.5</v>
      </c>
      <c r="C23" s="16">
        <v>1383.2</v>
      </c>
      <c r="D23" s="14">
        <v>1541.5</v>
      </c>
      <c r="E23" s="14">
        <f>E297</f>
        <v>1464.3999999999999</v>
      </c>
      <c r="F23" s="16">
        <f t="shared" si="3"/>
        <v>77.100000000000136</v>
      </c>
      <c r="G23" s="5">
        <f t="shared" si="0"/>
        <v>5.2389507725476007E-2</v>
      </c>
      <c r="H23" s="140">
        <f>H297</f>
        <v>1457.1</v>
      </c>
      <c r="I23" s="140">
        <f>I297</f>
        <v>1457.1</v>
      </c>
      <c r="J23" s="4">
        <f t="shared" si="1"/>
        <v>-4.9849767822998875E-3</v>
      </c>
      <c r="K23" s="4">
        <f t="shared" si="2"/>
        <v>-4.9849767822998875E-3</v>
      </c>
      <c r="L23" s="140">
        <f>L297</f>
        <v>1464.3999999999999</v>
      </c>
      <c r="M23" s="140">
        <f>M297</f>
        <v>1464.3999999999999</v>
      </c>
      <c r="N23" s="140">
        <f>N297</f>
        <v>1457.1</v>
      </c>
      <c r="O23" s="140">
        <f>O297</f>
        <v>1457.1</v>
      </c>
      <c r="P23" s="224">
        <f t="shared" si="4"/>
        <v>0</v>
      </c>
      <c r="Q23" s="114">
        <f t="shared" si="5"/>
        <v>0</v>
      </c>
      <c r="R23" s="140">
        <v>1457.1</v>
      </c>
    </row>
    <row r="24" spans="1:20" ht="16.5" thickBot="1" x14ac:dyDescent="0.3">
      <c r="A24" s="81" t="s">
        <v>24</v>
      </c>
      <c r="B24" s="15">
        <f>SUM(B21:B23)</f>
        <v>8711.2000000000007</v>
      </c>
      <c r="C24" s="17">
        <f>SUM(C21:C23)</f>
        <v>8659.1</v>
      </c>
      <c r="D24" s="75">
        <f>SUM(D21:D23)</f>
        <v>8854.2000000000007</v>
      </c>
      <c r="E24" s="15">
        <f>SUM(E21:E23)</f>
        <v>8411.5</v>
      </c>
      <c r="F24" s="75">
        <f>D24-E24</f>
        <v>442.70000000000073</v>
      </c>
      <c r="G24" s="20">
        <f t="shared" si="0"/>
        <v>-3.4403985673615654E-2</v>
      </c>
      <c r="H24" s="141">
        <f>SUM(H21:H23)</f>
        <v>8369.4</v>
      </c>
      <c r="I24" s="141">
        <f>SUM(I21:I23)</f>
        <v>8369.4</v>
      </c>
      <c r="J24" s="20">
        <f t="shared" si="1"/>
        <v>-5.0050526065505991E-3</v>
      </c>
      <c r="K24" s="20">
        <f t="shared" si="2"/>
        <v>-5.0050526065505991E-3</v>
      </c>
      <c r="L24" s="141">
        <f>SUM(L21:L23)</f>
        <v>8405</v>
      </c>
      <c r="M24" s="141">
        <f>SUM(M21:M23)</f>
        <v>8405</v>
      </c>
      <c r="N24" s="141">
        <f>SUM(N21:N23)</f>
        <v>8369.4</v>
      </c>
      <c r="O24" s="141">
        <f>SUM(O21:O23)</f>
        <v>8369.4</v>
      </c>
      <c r="P24" s="236">
        <f t="shared" si="4"/>
        <v>0</v>
      </c>
      <c r="Q24" s="106">
        <f t="shared" si="5"/>
        <v>0</v>
      </c>
      <c r="R24" s="141">
        <v>8369.4</v>
      </c>
    </row>
    <row r="25" spans="1:20" x14ac:dyDescent="0.25">
      <c r="A25" s="69" t="s">
        <v>228</v>
      </c>
      <c r="B25" s="29">
        <f>SUM(B24,B20)</f>
        <v>812176.8</v>
      </c>
      <c r="C25" s="30">
        <f>SUM(C24,C20)</f>
        <v>807312.9583262729</v>
      </c>
      <c r="D25" s="77">
        <f>SUM(D24,D20)</f>
        <v>792221.29999999993</v>
      </c>
      <c r="E25" s="29">
        <f>SUM(E24,E20)</f>
        <v>752261.2</v>
      </c>
      <c r="F25" s="77">
        <f>SUM(F24,F20)</f>
        <v>39960.100000000108</v>
      </c>
      <c r="G25" s="76">
        <f t="shared" si="0"/>
        <v>-7.3771622139416057E-2</v>
      </c>
      <c r="H25" s="153">
        <f>SUM(H24,H20)</f>
        <v>744798.90000000014</v>
      </c>
      <c r="I25" s="143">
        <f>SUM(I24,I20)</f>
        <v>744798.90000000014</v>
      </c>
      <c r="J25" s="180">
        <f t="shared" si="1"/>
        <v>-9.9198257201086725E-3</v>
      </c>
      <c r="K25" s="76">
        <f t="shared" si="2"/>
        <v>-9.9198257201086725E-3</v>
      </c>
      <c r="L25" s="153">
        <f>SUM(L24,L20)</f>
        <v>747270.8</v>
      </c>
      <c r="M25" s="153">
        <f>SUM(M24,M20)</f>
        <v>747270.8</v>
      </c>
      <c r="N25" s="153">
        <f>SUM(N24,N20)</f>
        <v>744798.90000000014</v>
      </c>
      <c r="O25" s="153">
        <f>SUM(O24,O20)</f>
        <v>744848.90000000014</v>
      </c>
      <c r="P25" s="222">
        <f t="shared" si="4"/>
        <v>-6.7132215152199137E-5</v>
      </c>
      <c r="Q25" s="79">
        <f t="shared" si="5"/>
        <v>50</v>
      </c>
      <c r="R25" s="153">
        <v>744848.90000000014</v>
      </c>
    </row>
    <row r="26" spans="1:20" ht="16.5" thickBot="1" x14ac:dyDescent="0.3">
      <c r="A26" s="71" t="s">
        <v>25</v>
      </c>
      <c r="B26" s="14">
        <f>+B64</f>
        <v>36333.1</v>
      </c>
      <c r="C26" s="16">
        <v>36115.5</v>
      </c>
      <c r="D26" s="73">
        <v>36620.1</v>
      </c>
      <c r="E26" s="14">
        <f>+E64</f>
        <v>34606</v>
      </c>
      <c r="F26" s="73">
        <f t="shared" si="3"/>
        <v>2014.0999999999985</v>
      </c>
      <c r="G26" s="5">
        <f t="shared" si="0"/>
        <v>-4.753516765703996E-2</v>
      </c>
      <c r="H26" s="140">
        <f>+H64</f>
        <v>34496.199999999997</v>
      </c>
      <c r="I26" s="144">
        <f>+I64</f>
        <v>34496.199999999997</v>
      </c>
      <c r="J26" s="4">
        <f t="shared" si="1"/>
        <v>-3.1728601976536703E-3</v>
      </c>
      <c r="K26" s="5">
        <f t="shared" si="2"/>
        <v>-3.1728601976536703E-3</v>
      </c>
      <c r="L26" s="140">
        <f>+L64</f>
        <v>34606</v>
      </c>
      <c r="M26" s="140">
        <f>+M64</f>
        <v>34606</v>
      </c>
      <c r="N26" s="140">
        <f>+N64</f>
        <v>34496.199999999997</v>
      </c>
      <c r="O26" s="140">
        <f>+O64</f>
        <v>34496.199999999997</v>
      </c>
      <c r="P26" s="224">
        <f t="shared" si="4"/>
        <v>0</v>
      </c>
      <c r="Q26" s="114">
        <f t="shared" si="5"/>
        <v>0</v>
      </c>
      <c r="R26" s="140">
        <v>34996.199999999997</v>
      </c>
    </row>
    <row r="27" spans="1:20" ht="16.5" thickBot="1" x14ac:dyDescent="0.3">
      <c r="A27" s="92" t="s">
        <v>26</v>
      </c>
      <c r="B27" s="15">
        <f>B20+B24+B26</f>
        <v>848509.9</v>
      </c>
      <c r="C27" s="17">
        <f>C20+C24+C26</f>
        <v>843428.4583262729</v>
      </c>
      <c r="D27" s="15">
        <f>D20+D24+D26</f>
        <v>828841.39999999991</v>
      </c>
      <c r="E27" s="15">
        <f>E20+E24+E26</f>
        <v>786867.19999999995</v>
      </c>
      <c r="F27" s="75">
        <f t="shared" si="3"/>
        <v>41974.199999999953</v>
      </c>
      <c r="G27" s="20">
        <f t="shared" si="0"/>
        <v>-7.2648180062483733E-2</v>
      </c>
      <c r="H27" s="141">
        <f>H20+H24+H26</f>
        <v>779295.10000000009</v>
      </c>
      <c r="I27" s="141">
        <f>I20+I24+I26</f>
        <v>779295.10000000009</v>
      </c>
      <c r="J27" s="20">
        <f t="shared" si="1"/>
        <v>-9.6230977730420841E-3</v>
      </c>
      <c r="K27" s="20">
        <f t="shared" si="2"/>
        <v>-9.6230977730420841E-3</v>
      </c>
      <c r="L27" s="141">
        <f>L20+L24+L26</f>
        <v>781876.8</v>
      </c>
      <c r="M27" s="141">
        <f>M20+M24+M26</f>
        <v>781876.8</v>
      </c>
      <c r="N27" s="141">
        <f>N20+N24+N26</f>
        <v>779295.10000000009</v>
      </c>
      <c r="O27" s="141">
        <f>O20+O24+O26</f>
        <v>779345.10000000009</v>
      </c>
      <c r="P27" s="235">
        <f t="shared" si="4"/>
        <v>-6.4160547140534874E-5</v>
      </c>
      <c r="Q27" s="240">
        <f t="shared" si="5"/>
        <v>50</v>
      </c>
      <c r="R27" s="141">
        <v>779845.10000000009</v>
      </c>
      <c r="S27" s="164">
        <f>779345.1-O27</f>
        <v>0</v>
      </c>
    </row>
    <row r="28" spans="1:20" x14ac:dyDescent="0.25">
      <c r="A28" s="70" t="s">
        <v>27</v>
      </c>
      <c r="B28" s="74"/>
      <c r="C28" s="93"/>
      <c r="D28" s="14"/>
      <c r="E28" s="261"/>
      <c r="F28" s="14"/>
      <c r="G28" s="7"/>
      <c r="H28" s="140"/>
      <c r="I28" s="140"/>
      <c r="J28" s="4"/>
      <c r="K28" s="4"/>
      <c r="L28" s="140"/>
      <c r="M28" s="140"/>
      <c r="N28" s="140"/>
      <c r="O28" s="140"/>
      <c r="P28" s="241"/>
      <c r="Q28" s="228"/>
      <c r="R28" s="140"/>
      <c r="S28" s="172"/>
    </row>
    <row r="29" spans="1:20" x14ac:dyDescent="0.25">
      <c r="A29" s="71" t="s">
        <v>28</v>
      </c>
      <c r="B29" s="14">
        <f>B203+B124+B68+B181+B158+B169+B221</f>
        <v>422581.39999999997</v>
      </c>
      <c r="C29" s="16">
        <f>C203+C124+C68+C181+C158+C169+C221</f>
        <v>420050.67244561325</v>
      </c>
      <c r="D29" s="14">
        <f>D203+D124+D68+D181+D158+D169+D221</f>
        <v>412552.5</v>
      </c>
      <c r="E29" s="14">
        <f>E203+E124+E68+E181+E158+E169+E221</f>
        <v>391839.79999999993</v>
      </c>
      <c r="F29" s="14">
        <f t="shared" si="3"/>
        <v>20712.70000000007</v>
      </c>
      <c r="G29" s="3">
        <f t="shared" ref="G29:G40" si="6">IFERROR(((+E29-B29)/B29),0)</f>
        <v>-7.2747167764601176E-2</v>
      </c>
      <c r="H29" s="140">
        <f>H203+H124+H68+H181+H158+H169+H221</f>
        <v>388137.7</v>
      </c>
      <c r="I29" s="140">
        <f>I203+I124+I68+I181+I158+I169+I221</f>
        <v>397997.1</v>
      </c>
      <c r="J29" s="4">
        <f t="shared" ref="J29:J40" si="7">(H29-E29)/E29</f>
        <v>-9.447993797464983E-3</v>
      </c>
      <c r="K29" s="4">
        <f>(I29-E29)/E29</f>
        <v>1.5713819780430797E-2</v>
      </c>
      <c r="L29" s="140">
        <f>L203+L124+L68+L181+L158+L169+L221</f>
        <v>392252</v>
      </c>
      <c r="M29" s="140">
        <f>M203+M124+M68+M181+M158+M169+M221</f>
        <v>401030.59999999992</v>
      </c>
      <c r="N29" s="140">
        <f>N203+N124+N68+N181+N158+N169+N221</f>
        <v>388137.7</v>
      </c>
      <c r="O29" s="140">
        <f>O203+O124+O68+O181+O158+O169+O221</f>
        <v>388137.7</v>
      </c>
      <c r="P29" s="242">
        <f t="shared" si="4"/>
        <v>0</v>
      </c>
      <c r="Q29" s="93">
        <f t="shared" si="5"/>
        <v>0</v>
      </c>
      <c r="R29" s="140">
        <f>R203+R124+R68+R181+R158+R169+R221</f>
        <v>388137.7</v>
      </c>
      <c r="S29" s="267"/>
    </row>
    <row r="30" spans="1:20" x14ac:dyDescent="0.25">
      <c r="A30" s="71" t="s">
        <v>29</v>
      </c>
      <c r="B30" s="14">
        <f>+B127+B129+B132+B135+B71+B73+B76+B74+B189+B184+B243+B282+B249+B258+B266+B275+B233</f>
        <v>192669.30000000002</v>
      </c>
      <c r="C30" s="16">
        <f>+C127+C129+C132+C135+C71+C73+C76+C74+C189+C184+C243+C282+C249+C258+C266+C275+C233</f>
        <v>191515.45483219466</v>
      </c>
      <c r="D30" s="14">
        <f>+D127+D129+D132+D135+D71+D73+D76+D74+D189+D184+D243+D282+D249+D258+D266+D275+D233</f>
        <v>188109.49999999997</v>
      </c>
      <c r="E30" s="14">
        <f>+E127+E129+E132+E135+E71+E73+E76+E74+E189+E184+E243+E282+E249+E258+E266+E275+E233</f>
        <v>178439.8</v>
      </c>
      <c r="F30" s="14">
        <f t="shared" si="3"/>
        <v>9669.6999999999825</v>
      </c>
      <c r="G30" s="3">
        <f t="shared" si="6"/>
        <v>-7.3854526901795087E-2</v>
      </c>
      <c r="H30" s="140">
        <f>+H127+H129+H132+H135+H71+H73+H76+H74+H189+H184+H243+H282+H249+H258+H266+H275+H233</f>
        <v>176453.3</v>
      </c>
      <c r="I30" s="140">
        <f>+I127+I129+I132+I135+I71+I73+I76+I74+I189+I184+I243+I282+I249+I258+I266+I275+I233</f>
        <v>180508.9</v>
      </c>
      <c r="J30" s="4">
        <f t="shared" si="7"/>
        <v>-1.1132606066583801E-2</v>
      </c>
      <c r="K30" s="4">
        <f>(I30-E30)/E30</f>
        <v>1.1595507280326508E-2</v>
      </c>
      <c r="L30" s="140">
        <f>+L127+L129+L132+L135+L71+L73+L76+L74+L189+L184+L243+L282+L249+L258+L266+L275+L233</f>
        <v>178027.2</v>
      </c>
      <c r="M30" s="140">
        <f>+M127+M129+M132+M135+M71+M73+M76+M74+M189+M184+M243+M282+M249+M258+M266+M275+M233</f>
        <v>181548.1</v>
      </c>
      <c r="N30" s="140">
        <f>+N127+N129+N132+N135+N71+N73+N76+N74+N189+N184+N243+N282+N249+N258+N266+N275+N233</f>
        <v>176453.3</v>
      </c>
      <c r="O30" s="140">
        <f>+O127+O129+O132+O135+O71+O73+O76+O74+O189+O184+O243+O282+O249+O258+O266+O275+O233</f>
        <v>176453.3</v>
      </c>
      <c r="P30" s="242">
        <f t="shared" si="4"/>
        <v>0</v>
      </c>
      <c r="Q30" s="93">
        <f t="shared" si="5"/>
        <v>0</v>
      </c>
      <c r="R30" s="140">
        <f>+R127+R129+R132+R135+R71+R73+R76+R74+R189+R184+R243+R282+R249+R258+R266+R275+R233</f>
        <v>176453.3</v>
      </c>
      <c r="T30" s="24"/>
    </row>
    <row r="31" spans="1:20" x14ac:dyDescent="0.25">
      <c r="A31" s="71" t="s">
        <v>30</v>
      </c>
      <c r="B31" s="14">
        <f>B104</f>
        <v>62331.6</v>
      </c>
      <c r="C31" s="16">
        <f>C104</f>
        <v>61958.312634230911</v>
      </c>
      <c r="D31" s="14">
        <f>D104</f>
        <v>60816.4</v>
      </c>
      <c r="E31" s="14">
        <f>E104</f>
        <v>57775.6</v>
      </c>
      <c r="F31" s="14">
        <f t="shared" si="3"/>
        <v>3040.8000000000029</v>
      </c>
      <c r="G31" s="3">
        <f t="shared" si="6"/>
        <v>-7.3092941621906063E-2</v>
      </c>
      <c r="H31" s="140">
        <f>H104</f>
        <v>57201.1</v>
      </c>
      <c r="I31" s="140">
        <f>I104</f>
        <v>60071.5</v>
      </c>
      <c r="J31" s="4">
        <f t="shared" si="7"/>
        <v>-9.9436440296595801E-3</v>
      </c>
      <c r="K31" s="4">
        <f>(I31-E31)/E31</f>
        <v>3.9738228594770136E-2</v>
      </c>
      <c r="L31" s="140">
        <f>L104</f>
        <v>55753.5</v>
      </c>
      <c r="M31" s="140">
        <f>M104</f>
        <v>61888.899999999994</v>
      </c>
      <c r="N31" s="140">
        <f>N104</f>
        <v>57201.1</v>
      </c>
      <c r="O31" s="140">
        <f>O104</f>
        <v>57201.1</v>
      </c>
      <c r="P31" s="242">
        <f t="shared" si="4"/>
        <v>0</v>
      </c>
      <c r="Q31" s="93">
        <f t="shared" si="5"/>
        <v>0</v>
      </c>
      <c r="R31" s="140">
        <f>R104</f>
        <v>57201.1</v>
      </c>
    </row>
    <row r="32" spans="1:20" x14ac:dyDescent="0.25">
      <c r="A32" s="71" t="s">
        <v>31</v>
      </c>
      <c r="B32" s="14">
        <f>B291-B289+B302+B297</f>
        <v>8429.9</v>
      </c>
      <c r="C32" s="16">
        <f>C291-C289+C302+C297</f>
        <v>8379.4155721223779</v>
      </c>
      <c r="D32" s="14">
        <f>D291-D289+D302+D297</f>
        <v>8579.9</v>
      </c>
      <c r="E32" s="14">
        <f>E291-E289+E302+E297</f>
        <v>8150.9</v>
      </c>
      <c r="F32" s="14">
        <f t="shared" si="3"/>
        <v>429</v>
      </c>
      <c r="G32" s="3">
        <f t="shared" si="6"/>
        <v>-3.3096478012787818E-2</v>
      </c>
      <c r="H32" s="140">
        <f>H291-H289+H302+H297</f>
        <v>8110.1</v>
      </c>
      <c r="I32" s="140">
        <f>I291-I289+I302+I297</f>
        <v>8110.1</v>
      </c>
      <c r="J32" s="4">
        <f t="shared" si="7"/>
        <v>-5.0055822056459132E-3</v>
      </c>
      <c r="K32" s="4">
        <f>(I32-E32)/E32</f>
        <v>-5.0055822056459132E-3</v>
      </c>
      <c r="L32" s="140">
        <f>L291-L289+L302+L297</f>
        <v>8150.9</v>
      </c>
      <c r="M32" s="140">
        <f>M291-M289+M302+M297</f>
        <v>8150.9</v>
      </c>
      <c r="N32" s="140">
        <f>N291-N289+N302+N297</f>
        <v>8110.1</v>
      </c>
      <c r="O32" s="140">
        <f>O291-O289+O302+O297</f>
        <v>8110.1</v>
      </c>
      <c r="P32" s="242">
        <f t="shared" si="4"/>
        <v>0</v>
      </c>
      <c r="Q32" s="93">
        <f t="shared" si="5"/>
        <v>0</v>
      </c>
      <c r="R32" s="140">
        <f>R291-R289+R302+R297</f>
        <v>8110.1</v>
      </c>
    </row>
    <row r="33" spans="1:19" x14ac:dyDescent="0.25">
      <c r="A33" s="71" t="s">
        <v>32</v>
      </c>
      <c r="B33" s="14">
        <f>B48+B72+B75+B77+B105+B106+B128+B131+B134+B143+B147+B165+B176+B185+B194+B224+B236+B244+B252+B270+B278+B283</f>
        <v>8390.2999999999993</v>
      </c>
      <c r="C33" s="16">
        <f>C48+C72+C75+C77+C105+C106+C128+C131+C134+C143+C147+C165+C176+C185+C194+C224+C236+C244+C252+C270+C278+C283</f>
        <v>8340.0527259846949</v>
      </c>
      <c r="D33" s="14">
        <f>D48+D72+D75+D77+D105+D106+D128+D131+D134+D143+D147+D165+D176+D185+D194+D224+D236+D244+D252+D270+D278+D283</f>
        <v>8186.4</v>
      </c>
      <c r="E33" s="14">
        <f>E48+E72+E75+E77+E105+E106+E128+E131+E134+E143+E147+E165+E176+E185+E194+E224+E236+E244+E252+E270+E278+E283</f>
        <v>7777.2999999999993</v>
      </c>
      <c r="F33" s="14">
        <f>D33-E33</f>
        <v>409.10000000000036</v>
      </c>
      <c r="G33" s="3">
        <f t="shared" si="6"/>
        <v>-7.3060558025338784E-2</v>
      </c>
      <c r="H33" s="140">
        <f>H48+H57+H72+H75+H77+H105+H106+H128+H131+H134+H147+H143+H165+H176+H185+H194+H224+H236+H244+H252+H270+H278+H283</f>
        <v>7698.8999999999987</v>
      </c>
      <c r="I33" s="145">
        <f>I48+I57+I72+I75+I77+I105+I106+I128+I131+I134+I147+I143+I165+I176+I185+I194+I224+I236+I244+I252+I270+I278+I283</f>
        <v>0</v>
      </c>
      <c r="J33" s="4">
        <f t="shared" si="7"/>
        <v>-1.008061923803898E-2</v>
      </c>
      <c r="K33" s="145">
        <v>0</v>
      </c>
      <c r="L33" s="145">
        <f>L48+L57+L72+L75+L77+L105+L106+L128+L131+L134+L147+L143+L165+L176+L185+L194+L224+L236+L244+L252+L270+L278+L283</f>
        <v>7271.8999999999987</v>
      </c>
      <c r="M33" s="145">
        <f>M48+M57+M72+M75+M77+M105+M106+M128+M131+M134+M147+M143+M165+M176+M185+M194+M224+M236+M244+M252+M270+M278+M283</f>
        <v>0</v>
      </c>
      <c r="N33" s="140">
        <f>N48+N57+N72+N75+N77+N105+N106+N128+N131+N134+N147+N143+N165+N176+N185+N194+N224+N236+N244+N252+N270+N278+N283</f>
        <v>7698.8999999999987</v>
      </c>
      <c r="O33" s="140">
        <f>O48+O57+O72+O75+O77+O105+O106+O128+O131+O134+O147+O143+O165+O176+O185+O194+O224+O236+O244+O252+O270+O278+O283</f>
        <v>7698.8999999999987</v>
      </c>
      <c r="P33" s="242">
        <f t="shared" si="4"/>
        <v>0</v>
      </c>
      <c r="Q33" s="93">
        <f t="shared" si="5"/>
        <v>0</v>
      </c>
      <c r="R33" s="140">
        <f>R48+R57+R72+R75+R77+R105+R106+R128+R131+R134+R147+R143+R165+R176+R185+R194+R224+R236+R244+R252+R270+R278+R283</f>
        <v>7698.8999999999987</v>
      </c>
    </row>
    <row r="34" spans="1:19" x14ac:dyDescent="0.25">
      <c r="A34" s="71" t="s">
        <v>33</v>
      </c>
      <c r="B34" s="14">
        <f>B133+B198+B277</f>
        <v>391.9</v>
      </c>
      <c r="C34" s="16">
        <f>C133+C198+C277</f>
        <v>389.55301518579813</v>
      </c>
      <c r="D34" s="14">
        <f>D133+D198+D277</f>
        <v>382.4</v>
      </c>
      <c r="E34" s="14">
        <f>E133+E198+E277</f>
        <v>363.29999999999995</v>
      </c>
      <c r="F34" s="14">
        <f t="shared" si="3"/>
        <v>19.100000000000023</v>
      </c>
      <c r="G34" s="3">
        <f t="shared" si="6"/>
        <v>-7.2977800459300898E-2</v>
      </c>
      <c r="H34" s="140">
        <f>H133+H198+H277</f>
        <v>359.7</v>
      </c>
      <c r="I34" s="145">
        <f>I133+I198+I277</f>
        <v>0</v>
      </c>
      <c r="J34" s="4">
        <f t="shared" si="7"/>
        <v>-9.9091659785300479E-3</v>
      </c>
      <c r="K34" s="145">
        <f>K133+K198+K277</f>
        <v>0</v>
      </c>
      <c r="L34" s="145">
        <f>L133+L198+L277</f>
        <v>339.7</v>
      </c>
      <c r="M34" s="145">
        <f>M133+M198+M277</f>
        <v>0</v>
      </c>
      <c r="N34" s="140">
        <f>N133+N198+N277</f>
        <v>359.7</v>
      </c>
      <c r="O34" s="140">
        <f>O133+O198+O277</f>
        <v>359.7</v>
      </c>
      <c r="P34" s="243">
        <f t="shared" si="4"/>
        <v>0</v>
      </c>
      <c r="Q34" s="93">
        <f t="shared" si="5"/>
        <v>0</v>
      </c>
      <c r="R34" s="140">
        <f>R133+R198+R277</f>
        <v>359.7</v>
      </c>
    </row>
    <row r="35" spans="1:19" x14ac:dyDescent="0.25">
      <c r="A35" s="71" t="s">
        <v>34</v>
      </c>
      <c r="B35" s="14">
        <f>B69+B125+B159+B170+B182+B204+B222+B250+B259+B267+B289</f>
        <v>14246.800000000001</v>
      </c>
      <c r="C35" s="16">
        <f>C69+C125+C159+C170+C182+C204+C222+C250+C259+C267+C289</f>
        <v>14161.4797059174</v>
      </c>
      <c r="D35" s="14">
        <f>D69+D125+D159+D170+D182+D204+D222+D250+D259+D267+D289</f>
        <v>13900.300000000001</v>
      </c>
      <c r="E35" s="14">
        <f>E69+E125+E159+E170+E182+E204+E222+E250+E259+E267+E289</f>
        <v>13205.4</v>
      </c>
      <c r="F35" s="14">
        <f t="shared" si="3"/>
        <v>694.90000000000146</v>
      </c>
      <c r="G35" s="3">
        <f t="shared" si="6"/>
        <v>-7.3097116545469951E-2</v>
      </c>
      <c r="H35" s="140">
        <f>H69+H125+H159+H170+H182+H204+H222+H250+H259+H267+H289</f>
        <v>13078.999999999998</v>
      </c>
      <c r="I35" s="140">
        <f>I69+I125+I159+I170+I182+I204+I222+I250+I259+I267+I289</f>
        <v>13078.999999999998</v>
      </c>
      <c r="J35" s="4">
        <f t="shared" si="7"/>
        <v>-9.5718418222849339E-3</v>
      </c>
      <c r="K35" s="4">
        <f t="shared" ref="K35:K40" si="8">(I35-E35)/E35</f>
        <v>-9.5718418222849339E-3</v>
      </c>
      <c r="L35" s="140">
        <f>L69+L125+L159+L170+L182+L204+L222+L250+L259+L267+L289</f>
        <v>12573.600000000002</v>
      </c>
      <c r="M35" s="140">
        <f>M69+M125+M159+M170+M182+M204+M222+M250+M259+M267+M289</f>
        <v>12573.600000000002</v>
      </c>
      <c r="N35" s="140">
        <f>N69+N125+N159+N170+N182+N204+N222+N250+N259+N267+N289</f>
        <v>13078.999999999998</v>
      </c>
      <c r="O35" s="140">
        <f>O69+O125+O159+O170+O182+O204+O222+O250+O259+O267+O289</f>
        <v>13078.999999999998</v>
      </c>
      <c r="P35" s="242">
        <f t="shared" si="4"/>
        <v>0</v>
      </c>
      <c r="Q35" s="93">
        <f t="shared" si="5"/>
        <v>0</v>
      </c>
      <c r="R35" s="140">
        <f>R69+R125+R159+R170+R182+R204+R222+R250+R259+R267+R289</f>
        <v>13078.999999999998</v>
      </c>
    </row>
    <row r="36" spans="1:19" x14ac:dyDescent="0.25">
      <c r="A36" s="71" t="s">
        <v>35</v>
      </c>
      <c r="B36" s="14">
        <f>+B70+B126+B172+B183</f>
        <v>3465.1</v>
      </c>
      <c r="C36" s="16">
        <f>+C70+C126+C172+C183</f>
        <v>3444.3484381737921</v>
      </c>
      <c r="D36" s="14">
        <f>+D70+D126+D172+D183</f>
        <v>3381.7</v>
      </c>
      <c r="E36" s="14">
        <f>+E70+E126+E172+E183</f>
        <v>3212.5999999999995</v>
      </c>
      <c r="F36" s="14">
        <f t="shared" si="3"/>
        <v>169.10000000000036</v>
      </c>
      <c r="G36" s="3">
        <f t="shared" si="6"/>
        <v>-7.2869469856569932E-2</v>
      </c>
      <c r="H36" s="140">
        <f>+H70+H126+H172+H183</f>
        <v>3180.2000000000003</v>
      </c>
      <c r="I36" s="140">
        <f>+I70+I126+I172+I183</f>
        <v>3180.2000000000003</v>
      </c>
      <c r="J36" s="4">
        <f t="shared" si="7"/>
        <v>-1.0085289173877602E-2</v>
      </c>
      <c r="K36" s="4">
        <f t="shared" si="8"/>
        <v>-1.0085289173877602E-2</v>
      </c>
      <c r="L36" s="140">
        <f>+L70+L126+L172+L183</f>
        <v>3060.9</v>
      </c>
      <c r="M36" s="140">
        <f>+M70+M126+M172+M183</f>
        <v>3060.9</v>
      </c>
      <c r="N36" s="140">
        <f>+N70+N126+N172+N183</f>
        <v>3180.2000000000003</v>
      </c>
      <c r="O36" s="140">
        <f>+O70+O126+O172+O183</f>
        <v>3180.2000000000003</v>
      </c>
      <c r="P36" s="242">
        <f>1-O36/N36</f>
        <v>0</v>
      </c>
      <c r="Q36" s="93">
        <f t="shared" si="5"/>
        <v>0</v>
      </c>
      <c r="R36" s="140">
        <f>+R70+R126+R172+R183</f>
        <v>3180.2000000000003</v>
      </c>
    </row>
    <row r="37" spans="1:19" x14ac:dyDescent="0.25">
      <c r="A37" s="71" t="s">
        <v>36</v>
      </c>
      <c r="B37" s="14">
        <f>B58</f>
        <v>11998.699999999999</v>
      </c>
      <c r="C37" s="16">
        <f>C58</f>
        <v>11926.7078</v>
      </c>
      <c r="D37" s="14">
        <f>D58</f>
        <v>12384.099999999999</v>
      </c>
      <c r="E37" s="14">
        <f>E58</f>
        <v>11703.000000000002</v>
      </c>
      <c r="F37" s="14">
        <f t="shared" si="3"/>
        <v>681.09999999999673</v>
      </c>
      <c r="G37" s="3">
        <f t="shared" si="6"/>
        <v>-2.4644336469783985E-2</v>
      </c>
      <c r="H37" s="140">
        <f>H58</f>
        <v>12303</v>
      </c>
      <c r="I37" s="140">
        <f>I58</f>
        <v>12303</v>
      </c>
      <c r="J37" s="4">
        <f t="shared" si="7"/>
        <v>5.1268905408869359E-2</v>
      </c>
      <c r="K37" s="4">
        <f t="shared" si="8"/>
        <v>5.1268905408869359E-2</v>
      </c>
      <c r="L37" s="140">
        <f>L58</f>
        <v>11703.000000000002</v>
      </c>
      <c r="M37" s="140">
        <f>M58</f>
        <v>11703.000000000002</v>
      </c>
      <c r="N37" s="140">
        <f>N58</f>
        <v>12303</v>
      </c>
      <c r="O37" s="140">
        <f>O58</f>
        <v>12303</v>
      </c>
      <c r="P37" s="242">
        <f t="shared" si="4"/>
        <v>0</v>
      </c>
      <c r="Q37" s="93">
        <f t="shared" si="5"/>
        <v>0</v>
      </c>
      <c r="R37" s="140">
        <f>R58</f>
        <v>12303</v>
      </c>
    </row>
    <row r="38" spans="1:19" x14ac:dyDescent="0.25">
      <c r="A38" s="71" t="s">
        <v>37</v>
      </c>
      <c r="B38" s="14">
        <f>B63</f>
        <v>24334.400000000001</v>
      </c>
      <c r="C38" s="16">
        <f>C63</f>
        <v>24188.393600000003</v>
      </c>
      <c r="D38" s="14">
        <f>D63</f>
        <v>24236</v>
      </c>
      <c r="E38" s="14">
        <f>E63</f>
        <v>22903</v>
      </c>
      <c r="F38" s="14">
        <f t="shared" si="3"/>
        <v>1333</v>
      </c>
      <c r="G38" s="3">
        <f t="shared" si="6"/>
        <v>-5.8822079032152072E-2</v>
      </c>
      <c r="H38" s="140">
        <f>H63</f>
        <v>22193.200000000001</v>
      </c>
      <c r="I38" s="140">
        <f>I63</f>
        <v>22193.200000000001</v>
      </c>
      <c r="J38" s="4">
        <f t="shared" si="7"/>
        <v>-3.0991573156355031E-2</v>
      </c>
      <c r="K38" s="4">
        <f t="shared" si="8"/>
        <v>-3.0991573156355031E-2</v>
      </c>
      <c r="L38" s="140">
        <f>L63</f>
        <v>22903</v>
      </c>
      <c r="M38" s="140">
        <f>M63</f>
        <v>22903</v>
      </c>
      <c r="N38" s="140">
        <f>N63</f>
        <v>22193.200000000001</v>
      </c>
      <c r="O38" s="140">
        <f>O63</f>
        <v>22193.200000000001</v>
      </c>
      <c r="P38" s="242">
        <f t="shared" si="4"/>
        <v>0</v>
      </c>
      <c r="Q38" s="93">
        <f t="shared" si="5"/>
        <v>0</v>
      </c>
      <c r="R38" s="140">
        <f>R63</f>
        <v>22693.200000000001</v>
      </c>
      <c r="S38" s="24"/>
    </row>
    <row r="39" spans="1:19" ht="16.5" thickBot="1" x14ac:dyDescent="0.3">
      <c r="A39" s="71" t="s">
        <v>38</v>
      </c>
      <c r="B39" s="14">
        <f>B27-SUM(B29:B38)</f>
        <v>99670.5</v>
      </c>
      <c r="C39" s="16">
        <f>C27-SUM(C29:C38)</f>
        <v>99074.067556850147</v>
      </c>
      <c r="D39" s="14">
        <f>D27-SUM(D29:D38)</f>
        <v>96312.199999999837</v>
      </c>
      <c r="E39" s="262">
        <f>E27-SUM(E29:E38)</f>
        <v>91496.5</v>
      </c>
      <c r="F39" s="14">
        <f t="shared" si="3"/>
        <v>4815.699999999837</v>
      </c>
      <c r="G39" s="3">
        <f t="shared" si="6"/>
        <v>-8.2010223687048828E-2</v>
      </c>
      <c r="H39" s="140">
        <f>H27-SUM(H29:H38)</f>
        <v>90578.900000000256</v>
      </c>
      <c r="I39" s="140">
        <f>I27-SUM(I29:I38)</f>
        <v>81852.10000000021</v>
      </c>
      <c r="J39" s="4">
        <f t="shared" si="7"/>
        <v>-1.0028798915802724E-2</v>
      </c>
      <c r="K39" s="4">
        <f t="shared" si="8"/>
        <v>-0.10540731066215418</v>
      </c>
      <c r="L39" s="140">
        <f>L27-SUM(L29:L38)</f>
        <v>89841.100000000093</v>
      </c>
      <c r="M39" s="140">
        <f>M27-SUM(M29:M38)</f>
        <v>79017.800000000047</v>
      </c>
      <c r="N39" s="140">
        <f>N27-SUM(N29:N38)</f>
        <v>90578.900000000256</v>
      </c>
      <c r="O39" s="140">
        <f>O27-SUM(O29:O38)</f>
        <v>90628.900000000256</v>
      </c>
      <c r="P39" s="244">
        <f t="shared" si="4"/>
        <v>-5.5200493713214449E-4</v>
      </c>
      <c r="Q39" s="225">
        <f t="shared" si="5"/>
        <v>50</v>
      </c>
      <c r="R39" s="140">
        <f>R27-SUM(R29:R38)</f>
        <v>90628.900000000256</v>
      </c>
      <c r="S39" s="21" t="s">
        <v>319</v>
      </c>
    </row>
    <row r="40" spans="1:19" ht="16.5" thickBot="1" x14ac:dyDescent="0.3">
      <c r="A40" s="92" t="s">
        <v>26</v>
      </c>
      <c r="B40" s="15">
        <f>SUM(B29:B39)</f>
        <v>848509.9</v>
      </c>
      <c r="C40" s="75">
        <f>SUM(C29:C39)</f>
        <v>843428.4583262729</v>
      </c>
      <c r="D40" s="131">
        <f>SUM(D29:D39)</f>
        <v>828841.39999999991</v>
      </c>
      <c r="E40" s="15">
        <f>SUM(E29:E39)</f>
        <v>786867.19999999995</v>
      </c>
      <c r="F40" s="15">
        <f t="shared" si="3"/>
        <v>41974.199999999953</v>
      </c>
      <c r="G40" s="6">
        <f t="shared" si="6"/>
        <v>-7.2648180062483733E-2</v>
      </c>
      <c r="H40" s="166">
        <f>SUM(H29:H39)</f>
        <v>779295.10000000009</v>
      </c>
      <c r="I40" s="141">
        <f>SUM(I29:I39)</f>
        <v>779295.10000000009</v>
      </c>
      <c r="J40" s="182">
        <f t="shared" si="7"/>
        <v>-9.6230977730420841E-3</v>
      </c>
      <c r="K40" s="20">
        <f t="shared" si="8"/>
        <v>-9.6230977730420841E-3</v>
      </c>
      <c r="L40" s="141">
        <f>SUM(L29:L39)</f>
        <v>781876.8</v>
      </c>
      <c r="M40" s="141">
        <f>SUM(M29:M39)</f>
        <v>781876.8</v>
      </c>
      <c r="N40" s="166">
        <f>SUM(N29:N39)</f>
        <v>779295.10000000009</v>
      </c>
      <c r="O40" s="141">
        <f>SUM(O29:O39)</f>
        <v>779345.10000000009</v>
      </c>
      <c r="P40" s="234">
        <f t="shared" si="4"/>
        <v>-6.4160547140534874E-5</v>
      </c>
      <c r="Q40" s="102">
        <f t="shared" si="5"/>
        <v>50</v>
      </c>
      <c r="R40" s="141">
        <f>SUM(R29:R39)</f>
        <v>779845.10000000009</v>
      </c>
      <c r="S40" s="268">
        <f>O40-N40</f>
        <v>50</v>
      </c>
    </row>
    <row r="41" spans="1:19" ht="36.75" customHeight="1" thickBot="1" x14ac:dyDescent="0.3">
      <c r="A41" s="123" t="s">
        <v>39</v>
      </c>
      <c r="B41" s="124"/>
      <c r="C41" s="125"/>
      <c r="D41" s="80"/>
      <c r="E41" s="80"/>
      <c r="F41" s="80"/>
      <c r="G41" s="126"/>
      <c r="H41" s="167"/>
      <c r="I41" s="146"/>
      <c r="J41" s="183"/>
      <c r="K41" s="184"/>
      <c r="L41" s="140"/>
      <c r="M41" s="140"/>
      <c r="N41" s="167"/>
      <c r="O41" s="144"/>
      <c r="P41" s="229"/>
      <c r="Q41" s="237"/>
      <c r="R41" s="144"/>
    </row>
    <row r="42" spans="1:19" ht="26.25" x14ac:dyDescent="0.25">
      <c r="A42" s="127" t="s">
        <v>40</v>
      </c>
      <c r="B42" s="79"/>
      <c r="C42" s="79"/>
      <c r="D42" s="78"/>
      <c r="E42" s="132"/>
      <c r="F42" s="78"/>
      <c r="G42" s="128"/>
      <c r="H42" s="147"/>
      <c r="I42" s="168"/>
      <c r="J42" s="185"/>
      <c r="K42" s="186"/>
      <c r="L42" s="147" t="s">
        <v>301</v>
      </c>
      <c r="M42" s="147" t="s">
        <v>301</v>
      </c>
      <c r="N42" s="147"/>
      <c r="O42" s="147"/>
      <c r="P42" s="229"/>
      <c r="Q42" s="237"/>
      <c r="R42" s="147"/>
    </row>
    <row r="43" spans="1:19" ht="16.5" thickBot="1" x14ac:dyDescent="0.3">
      <c r="A43" s="99" t="s">
        <v>41</v>
      </c>
      <c r="B43" s="114"/>
      <c r="C43" s="114"/>
      <c r="D43" s="133"/>
      <c r="E43" s="134"/>
      <c r="F43" s="129" t="s">
        <v>274</v>
      </c>
      <c r="G43" s="5"/>
      <c r="H43" s="148"/>
      <c r="I43" s="169"/>
      <c r="J43" s="187"/>
      <c r="K43" s="188"/>
      <c r="L43" s="148" t="s">
        <v>302</v>
      </c>
      <c r="M43" s="148" t="s">
        <v>302</v>
      </c>
      <c r="N43" s="148"/>
      <c r="O43" s="148"/>
      <c r="P43" s="231"/>
      <c r="Q43" s="238"/>
      <c r="R43" s="148"/>
    </row>
    <row r="44" spans="1:19" x14ac:dyDescent="0.25">
      <c r="A44" s="71" t="s">
        <v>271</v>
      </c>
      <c r="B44" s="74">
        <v>3252</v>
      </c>
      <c r="C44" s="74">
        <f>B44*0.994</f>
        <v>3232.4879999999998</v>
      </c>
      <c r="D44" s="73">
        <f>2635.9+1014-736.6+8734.2-SUM(D47,D49,D50,D51,D52,D55,D56)</f>
        <v>2899.8999999999996</v>
      </c>
      <c r="E44" s="14">
        <f>2635.9+821-696.1+8246.1-SUM(E47:E52,E54:E56)</f>
        <v>2715.5000000000018</v>
      </c>
      <c r="F44" s="73">
        <f t="shared" ref="F44:F64" si="9">D44-E44</f>
        <v>184.39999999999782</v>
      </c>
      <c r="G44" s="4">
        <f t="shared" ref="G44:G56" si="10">IFERROR(((+E44-B44)/B44),0)</f>
        <v>-0.16497539975399697</v>
      </c>
      <c r="H44" s="140">
        <v>3315.5</v>
      </c>
      <c r="I44" s="149">
        <v>3315.5</v>
      </c>
      <c r="J44" s="4">
        <f>(H44-E44)/E44</f>
        <v>0.22095378383354733</v>
      </c>
      <c r="K44" s="3">
        <f>(I44-E44)/E44</f>
        <v>0.22095378383354733</v>
      </c>
      <c r="L44" s="149">
        <v>2715.5000000000018</v>
      </c>
      <c r="M44" s="140">
        <v>2715.5000000000018</v>
      </c>
      <c r="N44" s="140">
        <v>3315.5</v>
      </c>
      <c r="O44" s="140">
        <f>(1-$V$3)*N44</f>
        <v>3315.5</v>
      </c>
      <c r="P44" s="230">
        <f t="shared" si="4"/>
        <v>0</v>
      </c>
      <c r="Q44" s="74">
        <f t="shared" ref="Q44:Q64" si="11">O44-N44</f>
        <v>0</v>
      </c>
      <c r="R44" s="140">
        <f>(1-$V$3)*N44</f>
        <v>3315.5</v>
      </c>
      <c r="S44" s="164"/>
    </row>
    <row r="45" spans="1:19" x14ac:dyDescent="0.25">
      <c r="A45" s="71" t="s">
        <v>267</v>
      </c>
      <c r="B45" s="74">
        <v>0</v>
      </c>
      <c r="C45" s="74">
        <f t="shared" ref="C45:C56" si="12">B45*0.994</f>
        <v>0</v>
      </c>
      <c r="D45" s="73">
        <v>0</v>
      </c>
      <c r="E45" s="14">
        <f>ROUND(D45*0.945,1)</f>
        <v>0</v>
      </c>
      <c r="F45" s="73">
        <f t="shared" si="9"/>
        <v>0</v>
      </c>
      <c r="G45" s="4">
        <f t="shared" si="10"/>
        <v>0</v>
      </c>
      <c r="H45" s="196">
        <f t="shared" ref="H45:H56" si="13">E45</f>
        <v>0</v>
      </c>
      <c r="I45" s="197">
        <f t="shared" ref="I45:I56" si="14">E45</f>
        <v>0</v>
      </c>
      <c r="J45" s="198" t="s">
        <v>280</v>
      </c>
      <c r="K45" s="199" t="s">
        <v>280</v>
      </c>
      <c r="L45" s="149">
        <v>0</v>
      </c>
      <c r="M45" s="140">
        <v>0</v>
      </c>
      <c r="N45" s="196">
        <v>0</v>
      </c>
      <c r="O45" s="140">
        <f t="shared" ref="O45:O56" si="15">(1-$V$3)*N45</f>
        <v>0</v>
      </c>
      <c r="P45" s="230"/>
      <c r="Q45" s="74"/>
      <c r="R45" s="140">
        <f t="shared" ref="R45:R57" si="16">(1-$V$3)*N45</f>
        <v>0</v>
      </c>
    </row>
    <row r="46" spans="1:19" x14ac:dyDescent="0.25">
      <c r="A46" s="71" t="s">
        <v>42</v>
      </c>
      <c r="B46" s="74">
        <v>0</v>
      </c>
      <c r="C46" s="74">
        <f t="shared" si="12"/>
        <v>0</v>
      </c>
      <c r="D46" s="73">
        <v>0</v>
      </c>
      <c r="E46" s="14">
        <f>ROUND(D46*0.945,1)</f>
        <v>0</v>
      </c>
      <c r="F46" s="73">
        <f t="shared" si="9"/>
        <v>0</v>
      </c>
      <c r="G46" s="4">
        <f t="shared" si="10"/>
        <v>0</v>
      </c>
      <c r="H46" s="196">
        <f t="shared" si="13"/>
        <v>0</v>
      </c>
      <c r="I46" s="197">
        <f t="shared" si="14"/>
        <v>0</v>
      </c>
      <c r="J46" s="198" t="s">
        <v>280</v>
      </c>
      <c r="K46" s="199" t="s">
        <v>280</v>
      </c>
      <c r="L46" s="149">
        <v>0</v>
      </c>
      <c r="M46" s="140">
        <v>0</v>
      </c>
      <c r="N46" s="196">
        <v>0</v>
      </c>
      <c r="O46" s="140">
        <f t="shared" si="15"/>
        <v>0</v>
      </c>
      <c r="P46" s="230"/>
      <c r="Q46" s="74"/>
      <c r="R46" s="140">
        <f t="shared" si="16"/>
        <v>0</v>
      </c>
    </row>
    <row r="47" spans="1:19" x14ac:dyDescent="0.25">
      <c r="A47" s="71" t="s">
        <v>43</v>
      </c>
      <c r="B47" s="74">
        <v>338.5</v>
      </c>
      <c r="C47" s="74">
        <f t="shared" si="12"/>
        <v>336.46899999999999</v>
      </c>
      <c r="D47" s="73">
        <v>487.9</v>
      </c>
      <c r="E47" s="14">
        <f>ROUND(D47*0.945,1)</f>
        <v>461.1</v>
      </c>
      <c r="F47" s="73">
        <f t="shared" si="9"/>
        <v>26.799999999999955</v>
      </c>
      <c r="G47" s="4">
        <f t="shared" si="10"/>
        <v>0.36218611521418026</v>
      </c>
      <c r="H47" s="140">
        <f t="shared" si="13"/>
        <v>461.1</v>
      </c>
      <c r="I47" s="149">
        <f t="shared" si="14"/>
        <v>461.1</v>
      </c>
      <c r="J47" s="4">
        <f>(H47-E47)/E47</f>
        <v>0</v>
      </c>
      <c r="K47" s="3">
        <f>(I47-E47)/E47</f>
        <v>0</v>
      </c>
      <c r="L47" s="149">
        <v>461.1</v>
      </c>
      <c r="M47" s="140">
        <v>461.1</v>
      </c>
      <c r="N47" s="140">
        <v>461.1</v>
      </c>
      <c r="O47" s="140">
        <f t="shared" si="15"/>
        <v>461.1</v>
      </c>
      <c r="P47" s="230">
        <f t="shared" si="4"/>
        <v>0</v>
      </c>
      <c r="Q47" s="74">
        <f t="shared" si="11"/>
        <v>0</v>
      </c>
      <c r="R47" s="140">
        <f t="shared" si="16"/>
        <v>461.1</v>
      </c>
    </row>
    <row r="48" spans="1:19" x14ac:dyDescent="0.25">
      <c r="A48" s="71" t="s">
        <v>44</v>
      </c>
      <c r="B48" s="74">
        <v>0</v>
      </c>
      <c r="C48" s="74">
        <f t="shared" si="12"/>
        <v>0</v>
      </c>
      <c r="D48" s="73">
        <v>0</v>
      </c>
      <c r="E48" s="14">
        <f>ROUND(D48*0.945,1)</f>
        <v>0</v>
      </c>
      <c r="F48" s="73">
        <f t="shared" si="9"/>
        <v>0</v>
      </c>
      <c r="G48" s="4">
        <f t="shared" si="10"/>
        <v>0</v>
      </c>
      <c r="H48" s="196">
        <f t="shared" si="13"/>
        <v>0</v>
      </c>
      <c r="I48" s="197">
        <f t="shared" si="14"/>
        <v>0</v>
      </c>
      <c r="J48" s="198" t="s">
        <v>280</v>
      </c>
      <c r="K48" s="199" t="s">
        <v>280</v>
      </c>
      <c r="L48" s="149">
        <v>0</v>
      </c>
      <c r="M48" s="140">
        <v>0</v>
      </c>
      <c r="N48" s="196">
        <v>0</v>
      </c>
      <c r="O48" s="140">
        <f t="shared" si="15"/>
        <v>0</v>
      </c>
      <c r="P48" s="230"/>
      <c r="Q48" s="74">
        <f t="shared" si="11"/>
        <v>0</v>
      </c>
      <c r="R48" s="140">
        <f t="shared" si="16"/>
        <v>0</v>
      </c>
    </row>
    <row r="49" spans="1:20" x14ac:dyDescent="0.25">
      <c r="A49" s="71" t="s">
        <v>315</v>
      </c>
      <c r="B49" s="74">
        <v>5678.7</v>
      </c>
      <c r="C49" s="74">
        <f t="shared" si="12"/>
        <v>5644.6278000000002</v>
      </c>
      <c r="D49" s="73">
        <v>5540.6</v>
      </c>
      <c r="E49" s="14">
        <f>ROUND(D49*0.945,1)</f>
        <v>5235.8999999999996</v>
      </c>
      <c r="F49" s="73">
        <f t="shared" si="9"/>
        <v>304.70000000000073</v>
      </c>
      <c r="G49" s="4">
        <f t="shared" si="10"/>
        <v>-7.7975593005441421E-2</v>
      </c>
      <c r="H49" s="140">
        <f t="shared" si="13"/>
        <v>5235.8999999999996</v>
      </c>
      <c r="I49" s="149">
        <f t="shared" si="14"/>
        <v>5235.8999999999996</v>
      </c>
      <c r="J49" s="4">
        <f>(H49-E49)/E49</f>
        <v>0</v>
      </c>
      <c r="K49" s="3">
        <f>(I49-E49)/E49</f>
        <v>0</v>
      </c>
      <c r="L49" s="149">
        <v>5235.8999999999996</v>
      </c>
      <c r="M49" s="140">
        <v>5235.8999999999996</v>
      </c>
      <c r="N49" s="140">
        <v>5235.8999999999996</v>
      </c>
      <c r="O49" s="140">
        <f t="shared" si="15"/>
        <v>5235.8999999999996</v>
      </c>
      <c r="P49" s="230">
        <f t="shared" si="4"/>
        <v>0</v>
      </c>
      <c r="Q49" s="74">
        <f t="shared" si="11"/>
        <v>0</v>
      </c>
      <c r="R49" s="140">
        <f t="shared" si="16"/>
        <v>5235.8999999999996</v>
      </c>
    </row>
    <row r="50" spans="1:20" x14ac:dyDescent="0.25">
      <c r="A50" s="71" t="s">
        <v>45</v>
      </c>
      <c r="B50" s="74">
        <v>1278.8</v>
      </c>
      <c r="C50" s="74">
        <f t="shared" si="12"/>
        <v>1271.1271999999999</v>
      </c>
      <c r="D50" s="73">
        <v>1278.8</v>
      </c>
      <c r="E50" s="14">
        <v>1251.9000000000001</v>
      </c>
      <c r="F50" s="73">
        <f t="shared" si="9"/>
        <v>26.899999999999864</v>
      </c>
      <c r="G50" s="4">
        <f t="shared" si="10"/>
        <v>-2.1035345636534145E-2</v>
      </c>
      <c r="H50" s="140">
        <f t="shared" si="13"/>
        <v>1251.9000000000001</v>
      </c>
      <c r="I50" s="149">
        <f t="shared" si="14"/>
        <v>1251.9000000000001</v>
      </c>
      <c r="J50" s="4">
        <f>(H50-E50)/E50</f>
        <v>0</v>
      </c>
      <c r="K50" s="3">
        <f>(I50-E50)/E50</f>
        <v>0</v>
      </c>
      <c r="L50" s="149">
        <v>1251.9000000000001</v>
      </c>
      <c r="M50" s="140">
        <v>1251.9000000000001</v>
      </c>
      <c r="N50" s="140">
        <v>1251.9000000000001</v>
      </c>
      <c r="O50" s="140">
        <f t="shared" si="15"/>
        <v>1251.9000000000001</v>
      </c>
      <c r="P50" s="230">
        <f t="shared" si="4"/>
        <v>0</v>
      </c>
      <c r="Q50" s="74">
        <f t="shared" si="11"/>
        <v>0</v>
      </c>
      <c r="R50" s="140">
        <f t="shared" si="16"/>
        <v>1251.9000000000001</v>
      </c>
      <c r="S50" s="164">
        <f>O50*0.95</f>
        <v>1189.3050000000001</v>
      </c>
    </row>
    <row r="51" spans="1:20" x14ac:dyDescent="0.25">
      <c r="A51" s="71" t="s">
        <v>272</v>
      </c>
      <c r="B51" s="74">
        <v>1001.3</v>
      </c>
      <c r="C51" s="74">
        <f t="shared" si="12"/>
        <v>995.29219999999998</v>
      </c>
      <c r="D51" s="73">
        <v>1001.3</v>
      </c>
      <c r="E51" s="14">
        <v>927.7</v>
      </c>
      <c r="F51" s="73">
        <f t="shared" si="9"/>
        <v>73.599999999999909</v>
      </c>
      <c r="G51" s="4">
        <f t="shared" si="10"/>
        <v>-7.3504444222510651E-2</v>
      </c>
      <c r="H51" s="140">
        <f t="shared" si="13"/>
        <v>927.7</v>
      </c>
      <c r="I51" s="149">
        <f t="shared" si="14"/>
        <v>927.7</v>
      </c>
      <c r="J51" s="4">
        <f>(H51-E51)/E51</f>
        <v>0</v>
      </c>
      <c r="K51" s="3">
        <f>(I51-E51)/E51</f>
        <v>0</v>
      </c>
      <c r="L51" s="149">
        <v>927.7</v>
      </c>
      <c r="M51" s="140">
        <v>927.7</v>
      </c>
      <c r="N51" s="140">
        <v>927.7</v>
      </c>
      <c r="O51" s="140">
        <f t="shared" si="15"/>
        <v>927.7</v>
      </c>
      <c r="P51" s="230">
        <f t="shared" si="4"/>
        <v>0</v>
      </c>
      <c r="Q51" s="74">
        <f t="shared" si="11"/>
        <v>0</v>
      </c>
      <c r="R51" s="140">
        <f t="shared" si="16"/>
        <v>927.7</v>
      </c>
    </row>
    <row r="52" spans="1:20" x14ac:dyDescent="0.25">
      <c r="A52" s="71" t="s">
        <v>275</v>
      </c>
      <c r="B52" s="74">
        <v>199.4</v>
      </c>
      <c r="C52" s="74">
        <f t="shared" si="12"/>
        <v>198.20359999999999</v>
      </c>
      <c r="D52" s="73">
        <v>194.6</v>
      </c>
      <c r="E52" s="14">
        <f>ROUND(D52*0.945,1)</f>
        <v>183.9</v>
      </c>
      <c r="F52" s="73">
        <f t="shared" si="9"/>
        <v>10.699999999999989</v>
      </c>
      <c r="G52" s="4">
        <f t="shared" si="10"/>
        <v>-7.773319959879639E-2</v>
      </c>
      <c r="H52" s="140">
        <f t="shared" si="13"/>
        <v>183.9</v>
      </c>
      <c r="I52" s="149">
        <f t="shared" si="14"/>
        <v>183.9</v>
      </c>
      <c r="J52" s="4">
        <f>(H52-E52)/E52</f>
        <v>0</v>
      </c>
      <c r="K52" s="3">
        <f>(I52-E52)/E52</f>
        <v>0</v>
      </c>
      <c r="L52" s="149">
        <v>183.9</v>
      </c>
      <c r="M52" s="140">
        <v>183.9</v>
      </c>
      <c r="N52" s="140">
        <v>183.9</v>
      </c>
      <c r="O52" s="140">
        <f t="shared" si="15"/>
        <v>183.9</v>
      </c>
      <c r="P52" s="230">
        <f t="shared" si="4"/>
        <v>0</v>
      </c>
      <c r="Q52" s="74">
        <f t="shared" si="11"/>
        <v>0</v>
      </c>
      <c r="R52" s="140">
        <f t="shared" si="16"/>
        <v>183.9</v>
      </c>
    </row>
    <row r="53" spans="1:20" x14ac:dyDescent="0.25">
      <c r="A53" s="71" t="s">
        <v>270</v>
      </c>
      <c r="B53" s="74">
        <v>0</v>
      </c>
      <c r="C53" s="74">
        <f t="shared" si="12"/>
        <v>0</v>
      </c>
      <c r="D53" s="73">
        <v>736.6</v>
      </c>
      <c r="E53" s="14">
        <f>ROUND(D53*0.945,1)</f>
        <v>696.1</v>
      </c>
      <c r="F53" s="73">
        <f t="shared" si="9"/>
        <v>40.5</v>
      </c>
      <c r="G53" s="4">
        <f t="shared" si="10"/>
        <v>0</v>
      </c>
      <c r="H53" s="140">
        <f t="shared" si="13"/>
        <v>696.1</v>
      </c>
      <c r="I53" s="149">
        <f t="shared" si="14"/>
        <v>696.1</v>
      </c>
      <c r="J53" s="4">
        <f>(H53-E53)/E53</f>
        <v>0</v>
      </c>
      <c r="K53" s="3">
        <f>(I53-E53)/E53</f>
        <v>0</v>
      </c>
      <c r="L53" s="149">
        <v>696.1</v>
      </c>
      <c r="M53" s="140">
        <v>696.1</v>
      </c>
      <c r="N53" s="140">
        <v>696.1</v>
      </c>
      <c r="O53" s="140">
        <f t="shared" si="15"/>
        <v>696.1</v>
      </c>
      <c r="P53" s="230">
        <f t="shared" si="4"/>
        <v>0</v>
      </c>
      <c r="Q53" s="74">
        <f t="shared" si="11"/>
        <v>0</v>
      </c>
      <c r="R53" s="140">
        <f t="shared" si="16"/>
        <v>696.1</v>
      </c>
    </row>
    <row r="54" spans="1:20" x14ac:dyDescent="0.25">
      <c r="A54" s="71" t="s">
        <v>226</v>
      </c>
      <c r="B54" s="74">
        <v>0</v>
      </c>
      <c r="C54" s="74">
        <f t="shared" si="12"/>
        <v>0</v>
      </c>
      <c r="D54" s="73">
        <v>0</v>
      </c>
      <c r="E54" s="14">
        <f>ROUND(D54*0.945,1)</f>
        <v>0</v>
      </c>
      <c r="F54" s="73">
        <f t="shared" si="9"/>
        <v>0</v>
      </c>
      <c r="G54" s="4">
        <f t="shared" si="10"/>
        <v>0</v>
      </c>
      <c r="H54" s="200">
        <f t="shared" si="13"/>
        <v>0</v>
      </c>
      <c r="I54" s="201">
        <f t="shared" si="14"/>
        <v>0</v>
      </c>
      <c r="J54" s="202" t="s">
        <v>280</v>
      </c>
      <c r="K54" s="203" t="s">
        <v>280</v>
      </c>
      <c r="L54" s="149">
        <v>0</v>
      </c>
      <c r="M54" s="140">
        <v>0</v>
      </c>
      <c r="N54" s="200">
        <v>0</v>
      </c>
      <c r="O54" s="140">
        <f t="shared" si="15"/>
        <v>0</v>
      </c>
      <c r="P54" s="230"/>
      <c r="Q54" s="74">
        <f t="shared" si="11"/>
        <v>0</v>
      </c>
      <c r="R54" s="140">
        <f t="shared" si="16"/>
        <v>0</v>
      </c>
      <c r="S54" s="21">
        <f>2584.8+1365.2+8353</f>
        <v>12303</v>
      </c>
    </row>
    <row r="55" spans="1:20" x14ac:dyDescent="0.25">
      <c r="A55" s="98" t="s">
        <v>273</v>
      </c>
      <c r="B55" s="74">
        <v>150</v>
      </c>
      <c r="C55" s="74">
        <f t="shared" si="12"/>
        <v>149.1</v>
      </c>
      <c r="D55" s="73">
        <v>146.4</v>
      </c>
      <c r="E55" s="14">
        <f>ROUND(D55*0.945,1)</f>
        <v>138.30000000000001</v>
      </c>
      <c r="F55" s="73">
        <f t="shared" si="9"/>
        <v>8.0999999999999943</v>
      </c>
      <c r="G55" s="4">
        <f t="shared" si="10"/>
        <v>-7.7999999999999931E-2</v>
      </c>
      <c r="H55" s="140">
        <f t="shared" si="13"/>
        <v>138.30000000000001</v>
      </c>
      <c r="I55" s="149">
        <f t="shared" si="14"/>
        <v>138.30000000000001</v>
      </c>
      <c r="J55" s="4">
        <f>(H55-E55)/E55</f>
        <v>0</v>
      </c>
      <c r="K55" s="3">
        <f>(I55-E55)/E55</f>
        <v>0</v>
      </c>
      <c r="L55" s="149">
        <v>138.30000000000001</v>
      </c>
      <c r="M55" s="140">
        <v>138.30000000000001</v>
      </c>
      <c r="N55" s="140">
        <v>138.30000000000001</v>
      </c>
      <c r="O55" s="140">
        <f t="shared" si="15"/>
        <v>138.30000000000001</v>
      </c>
      <c r="P55" s="230">
        <f t="shared" si="4"/>
        <v>0</v>
      </c>
      <c r="Q55" s="74">
        <f t="shared" si="11"/>
        <v>0</v>
      </c>
      <c r="R55" s="140">
        <f t="shared" si="16"/>
        <v>138.30000000000001</v>
      </c>
    </row>
    <row r="56" spans="1:20" x14ac:dyDescent="0.25">
      <c r="A56" s="98" t="s">
        <v>46</v>
      </c>
      <c r="B56" s="74">
        <v>100</v>
      </c>
      <c r="C56" s="74">
        <f t="shared" si="12"/>
        <v>99.4</v>
      </c>
      <c r="D56" s="73">
        <v>98</v>
      </c>
      <c r="E56" s="14">
        <f>ROUND(D56*0.945,1)</f>
        <v>92.6</v>
      </c>
      <c r="F56" s="73">
        <f t="shared" si="9"/>
        <v>5.4000000000000057</v>
      </c>
      <c r="G56" s="4">
        <f t="shared" si="10"/>
        <v>-7.4000000000000052E-2</v>
      </c>
      <c r="H56" s="140">
        <f t="shared" si="13"/>
        <v>92.6</v>
      </c>
      <c r="I56" s="149">
        <f t="shared" si="14"/>
        <v>92.6</v>
      </c>
      <c r="J56" s="4">
        <f>(H56-E56)/E56</f>
        <v>0</v>
      </c>
      <c r="K56" s="3">
        <f>(I56-E56)/E56</f>
        <v>0</v>
      </c>
      <c r="L56" s="149">
        <v>92.6</v>
      </c>
      <c r="M56" s="140">
        <v>92.6</v>
      </c>
      <c r="N56" s="140">
        <v>92.6</v>
      </c>
      <c r="O56" s="140">
        <f t="shared" si="15"/>
        <v>92.6</v>
      </c>
      <c r="P56" s="230">
        <f t="shared" si="4"/>
        <v>0</v>
      </c>
      <c r="Q56" s="74">
        <f t="shared" si="11"/>
        <v>0</v>
      </c>
      <c r="R56" s="140">
        <f t="shared" si="16"/>
        <v>92.6</v>
      </c>
    </row>
    <row r="57" spans="1:20" ht="16.5" thickBot="1" x14ac:dyDescent="0.3">
      <c r="A57" s="98"/>
      <c r="B57" s="74"/>
      <c r="C57" s="74"/>
      <c r="D57" s="73"/>
      <c r="E57" s="14"/>
      <c r="F57" s="73"/>
      <c r="G57" s="4"/>
      <c r="H57" s="140"/>
      <c r="I57" s="149"/>
      <c r="J57" s="4"/>
      <c r="K57" s="3"/>
      <c r="L57" s="149"/>
      <c r="M57" s="140"/>
      <c r="N57" s="140"/>
      <c r="O57" s="140"/>
      <c r="P57" s="230"/>
      <c r="Q57" s="74">
        <f t="shared" si="11"/>
        <v>0</v>
      </c>
      <c r="R57" s="140">
        <f t="shared" si="16"/>
        <v>0</v>
      </c>
    </row>
    <row r="58" spans="1:20" ht="16.5" thickBot="1" x14ac:dyDescent="0.3">
      <c r="A58" s="117" t="s">
        <v>47</v>
      </c>
      <c r="B58" s="15">
        <f>SUM(B43:B57)</f>
        <v>11998.699999999999</v>
      </c>
      <c r="C58" s="15">
        <f>SUM(C43:C57)</f>
        <v>11926.7078</v>
      </c>
      <c r="D58" s="75">
        <f>SUM(D43:D57)</f>
        <v>12384.099999999999</v>
      </c>
      <c r="E58" s="15">
        <f>SUM(E43:E57)</f>
        <v>11703.000000000002</v>
      </c>
      <c r="F58" s="75">
        <f t="shared" si="9"/>
        <v>681.09999999999673</v>
      </c>
      <c r="G58" s="20">
        <f>IFERROR(((+E58-B58)/B58),0)</f>
        <v>-2.4644336469783985E-2</v>
      </c>
      <c r="H58" s="141">
        <f>SUM(H43:H57)</f>
        <v>12303</v>
      </c>
      <c r="I58" s="142">
        <f>SUM(I43:I57)</f>
        <v>12303</v>
      </c>
      <c r="J58" s="20">
        <f>(H58-E58)/E58</f>
        <v>5.1268905408869359E-2</v>
      </c>
      <c r="K58" s="6">
        <f>(I58-E58)/E58</f>
        <v>5.1268905408869359E-2</v>
      </c>
      <c r="L58" s="141">
        <f>SUM(L43:L57)</f>
        <v>11703.000000000002</v>
      </c>
      <c r="M58" s="141">
        <f>SUM(M43:M57)</f>
        <v>11703.000000000002</v>
      </c>
      <c r="N58" s="141">
        <f>SUM(N43:N57)</f>
        <v>12303</v>
      </c>
      <c r="O58" s="141">
        <f>SUM(O43:O57)</f>
        <v>12303</v>
      </c>
      <c r="P58" s="233">
        <f t="shared" si="4"/>
        <v>0</v>
      </c>
      <c r="Q58" s="107">
        <f t="shared" si="11"/>
        <v>0</v>
      </c>
      <c r="R58" s="141">
        <f>SUM(R43:R57)</f>
        <v>12303</v>
      </c>
      <c r="S58" s="164"/>
    </row>
    <row r="59" spans="1:20" x14ac:dyDescent="0.25">
      <c r="A59" s="69" t="s">
        <v>48</v>
      </c>
      <c r="B59" s="74"/>
      <c r="C59" s="93"/>
      <c r="D59" s="14"/>
      <c r="E59" s="16"/>
      <c r="F59" s="16"/>
      <c r="G59" s="3"/>
      <c r="H59" s="140"/>
      <c r="I59" s="149"/>
      <c r="J59" s="4"/>
      <c r="K59" s="3"/>
      <c r="L59" s="152"/>
      <c r="M59" s="152"/>
      <c r="N59" s="140"/>
      <c r="O59" s="140"/>
      <c r="P59" s="230"/>
      <c r="Q59" s="74">
        <f t="shared" si="11"/>
        <v>0</v>
      </c>
      <c r="R59" s="140"/>
    </row>
    <row r="60" spans="1:20" x14ac:dyDescent="0.25">
      <c r="A60" s="118"/>
      <c r="B60" s="74"/>
      <c r="C60" s="93"/>
      <c r="D60" s="14"/>
      <c r="E60" s="16"/>
      <c r="F60" s="16"/>
      <c r="G60" s="3"/>
      <c r="H60" s="140"/>
      <c r="I60" s="149"/>
      <c r="J60" s="4"/>
      <c r="K60" s="3"/>
      <c r="L60" s="140"/>
      <c r="M60" s="140"/>
      <c r="N60" s="140"/>
      <c r="O60" s="140"/>
      <c r="P60" s="230"/>
      <c r="Q60" s="74">
        <f t="shared" si="11"/>
        <v>0</v>
      </c>
      <c r="R60" s="140"/>
    </row>
    <row r="61" spans="1:20" ht="16.5" thickBot="1" x14ac:dyDescent="0.3">
      <c r="A61" s="71"/>
      <c r="B61" s="74"/>
      <c r="C61" s="115"/>
      <c r="D61" s="14"/>
      <c r="E61" s="16"/>
      <c r="F61" s="16"/>
      <c r="G61" s="3"/>
      <c r="H61" s="140"/>
      <c r="I61" s="149"/>
      <c r="J61" s="4"/>
      <c r="K61" s="3"/>
      <c r="L61" s="140"/>
      <c r="M61" s="140"/>
      <c r="N61" s="140"/>
      <c r="O61" s="140"/>
      <c r="P61" s="230"/>
      <c r="Q61" s="74">
        <f t="shared" si="11"/>
        <v>0</v>
      </c>
      <c r="R61" s="140"/>
    </row>
    <row r="62" spans="1:20" ht="16.5" thickBot="1" x14ac:dyDescent="0.3">
      <c r="A62" s="71" t="s">
        <v>49</v>
      </c>
      <c r="B62" s="116">
        <v>24334.400000000001</v>
      </c>
      <c r="C62" s="115">
        <f>B62*0.994</f>
        <v>24188.393600000003</v>
      </c>
      <c r="D62" s="116">
        <v>24236</v>
      </c>
      <c r="E62" s="116">
        <f>ROUND(D62*0.945,1)</f>
        <v>22903</v>
      </c>
      <c r="F62" s="119">
        <f t="shared" si="9"/>
        <v>1333</v>
      </c>
      <c r="G62" s="120">
        <f>IFERROR(((+E62-B62)/B62),0)</f>
        <v>-5.8822079032152072E-2</v>
      </c>
      <c r="H62" s="150">
        <v>22193.200000000001</v>
      </c>
      <c r="I62" s="170">
        <v>22193.200000000001</v>
      </c>
      <c r="J62" s="189">
        <f>(H62-E62)/E62</f>
        <v>-3.0991573156355031E-2</v>
      </c>
      <c r="K62" s="120">
        <f>(I62-E62)/E62</f>
        <v>-3.0991573156355031E-2</v>
      </c>
      <c r="L62" s="150">
        <v>22903</v>
      </c>
      <c r="M62" s="150">
        <v>22903</v>
      </c>
      <c r="N62" s="150">
        <v>22193.200000000001</v>
      </c>
      <c r="O62" s="152">
        <f>(1-$V$3)*N62</f>
        <v>22193.200000000001</v>
      </c>
      <c r="P62" s="229">
        <f t="shared" si="4"/>
        <v>0</v>
      </c>
      <c r="Q62" s="79">
        <f t="shared" si="11"/>
        <v>0</v>
      </c>
      <c r="R62" s="152">
        <f>(1-$V$3)*N62+500</f>
        <v>22693.200000000001</v>
      </c>
      <c r="T62" s="269">
        <f>N64/E64</f>
        <v>0.99682713980234638</v>
      </c>
    </row>
    <row r="63" spans="1:20" ht="16.5" thickBot="1" x14ac:dyDescent="0.3">
      <c r="A63" s="71" t="s">
        <v>50</v>
      </c>
      <c r="B63" s="121">
        <v>24334.400000000001</v>
      </c>
      <c r="C63" s="72">
        <f>B63*0.994</f>
        <v>24188.393600000003</v>
      </c>
      <c r="D63" s="121">
        <v>24236</v>
      </c>
      <c r="E63" s="116">
        <f>ROUND(D63*0.945,1)</f>
        <v>22903</v>
      </c>
      <c r="F63" s="16">
        <f t="shared" si="9"/>
        <v>1333</v>
      </c>
      <c r="G63" s="122">
        <f>IFERROR(((+E63-B63)/B63),0)</f>
        <v>-5.8822079032152072E-2</v>
      </c>
      <c r="H63" s="151">
        <f>H62</f>
        <v>22193.200000000001</v>
      </c>
      <c r="I63" s="171">
        <v>22193.200000000001</v>
      </c>
      <c r="J63" s="190">
        <f>(H63-E63)/E63</f>
        <v>-3.0991573156355031E-2</v>
      </c>
      <c r="K63" s="122">
        <f>(I63-E63)/E63</f>
        <v>-3.0991573156355031E-2</v>
      </c>
      <c r="L63" s="150">
        <v>22903</v>
      </c>
      <c r="M63" s="150">
        <v>22903</v>
      </c>
      <c r="N63" s="151">
        <f>N62</f>
        <v>22193.200000000001</v>
      </c>
      <c r="O63" s="144">
        <f>(1-$V$3)*N63</f>
        <v>22193.200000000001</v>
      </c>
      <c r="P63" s="231">
        <f t="shared" si="4"/>
        <v>0</v>
      </c>
      <c r="Q63" s="114">
        <f t="shared" si="11"/>
        <v>0</v>
      </c>
      <c r="R63" s="152">
        <v>22693.200000000001</v>
      </c>
    </row>
    <row r="64" spans="1:20" ht="16.5" thickBot="1" x14ac:dyDescent="0.3">
      <c r="A64" s="81" t="s">
        <v>51</v>
      </c>
      <c r="B64" s="15">
        <f>+B63+B58</f>
        <v>36333.1</v>
      </c>
      <c r="C64" s="17">
        <f>+C63+C58</f>
        <v>36115.1014</v>
      </c>
      <c r="D64" s="15">
        <f>+D63+D58</f>
        <v>36620.1</v>
      </c>
      <c r="E64" s="15">
        <f>+E63+E58</f>
        <v>34606</v>
      </c>
      <c r="F64" s="17">
        <f t="shared" si="9"/>
        <v>2014.0999999999985</v>
      </c>
      <c r="G64" s="6">
        <f>IFERROR(((+E64-B64)/B64),0)</f>
        <v>-4.753516765703996E-2</v>
      </c>
      <c r="H64" s="141">
        <f>+H63+H58</f>
        <v>34496.199999999997</v>
      </c>
      <c r="I64" s="142">
        <f>+I63+I58</f>
        <v>34496.199999999997</v>
      </c>
      <c r="J64" s="20">
        <f>(H64-E64)/E64</f>
        <v>-3.1728601976536703E-3</v>
      </c>
      <c r="K64" s="6">
        <f>(I64-E64)/E64</f>
        <v>-3.1728601976536703E-3</v>
      </c>
      <c r="L64" s="158">
        <f>+L63+L58</f>
        <v>34606</v>
      </c>
      <c r="M64" s="158">
        <f>+M63+M58</f>
        <v>34606</v>
      </c>
      <c r="N64" s="141">
        <f>+N63+N58</f>
        <v>34496.199999999997</v>
      </c>
      <c r="O64" s="141">
        <f>+O63+O58</f>
        <v>34496.199999999997</v>
      </c>
      <c r="P64" s="233">
        <f t="shared" si="4"/>
        <v>0</v>
      </c>
      <c r="Q64" s="107">
        <f t="shared" si="11"/>
        <v>0</v>
      </c>
      <c r="R64" s="141">
        <f>+R63+R58</f>
        <v>34996.199999999997</v>
      </c>
    </row>
    <row r="65" spans="1:20" x14ac:dyDescent="0.25">
      <c r="A65" s="69"/>
      <c r="B65" s="74"/>
      <c r="C65" s="93"/>
      <c r="D65" s="14"/>
      <c r="E65" s="16"/>
      <c r="F65" s="16"/>
      <c r="G65" s="7"/>
      <c r="H65" s="140"/>
      <c r="I65" s="149"/>
      <c r="J65" s="191"/>
      <c r="K65" s="179"/>
      <c r="L65" s="214"/>
      <c r="M65" s="152"/>
      <c r="N65" s="140"/>
      <c r="O65" s="140"/>
      <c r="P65" s="25"/>
      <c r="Q65" s="24"/>
      <c r="R65" s="24"/>
    </row>
    <row r="66" spans="1:20" ht="33.950000000000003" customHeight="1" thickBot="1" x14ac:dyDescent="0.3">
      <c r="A66" s="271" t="s">
        <v>305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3"/>
      <c r="O66" s="274"/>
      <c r="P66" s="274"/>
      <c r="Q66" s="274"/>
      <c r="R66" s="274"/>
      <c r="S66" s="274"/>
      <c r="T66" s="274"/>
    </row>
    <row r="67" spans="1:20" s="21" customFormat="1" x14ac:dyDescent="0.25">
      <c r="A67" s="69" t="s">
        <v>52</v>
      </c>
      <c r="B67" s="74"/>
      <c r="C67" s="72"/>
      <c r="D67" s="14"/>
      <c r="E67" s="73"/>
      <c r="F67" s="14"/>
      <c r="G67" s="84"/>
      <c r="H67" s="140"/>
      <c r="I67" s="140"/>
      <c r="J67" s="4"/>
      <c r="K67" s="4"/>
      <c r="L67" s="140"/>
      <c r="M67" s="140"/>
      <c r="N67" s="140"/>
      <c r="O67" s="140"/>
      <c r="P67" s="229"/>
      <c r="Q67" s="237"/>
      <c r="R67" s="237"/>
    </row>
    <row r="68" spans="1:20" s="21" customFormat="1" x14ac:dyDescent="0.25">
      <c r="A68" s="82" t="s">
        <v>53</v>
      </c>
      <c r="B68" s="74">
        <v>191264</v>
      </c>
      <c r="C68" s="72">
        <v>190118.57079994003</v>
      </c>
      <c r="D68" s="14">
        <v>186759.6</v>
      </c>
      <c r="E68" s="73">
        <f t="shared" ref="E68:E100" si="17">ROUND(D68*0.95,1)</f>
        <v>177421.6</v>
      </c>
      <c r="F68" s="14">
        <f t="shared" ref="F68:F131" si="18">D68-E68</f>
        <v>9338</v>
      </c>
      <c r="G68" s="85">
        <f t="shared" ref="G68:G77" si="19">IFERROR(((+E68-B68)/B68),0)</f>
        <v>-7.2373264179354163E-2</v>
      </c>
      <c r="H68" s="153">
        <f>ROUND('Formula I&amp;G'!C11/1000,1)</f>
        <v>175823.2</v>
      </c>
      <c r="I68" s="153">
        <f>H68+SUM(H80:H89)</f>
        <v>178588</v>
      </c>
      <c r="J68" s="180">
        <f t="shared" ref="J68:J77" si="20">(H68-E68)/E68</f>
        <v>-9.0090496309355467E-3</v>
      </c>
      <c r="K68" s="180">
        <f>(I68-E68)/E68</f>
        <v>6.5741713523043083E-3</v>
      </c>
      <c r="L68" s="153">
        <v>177768.5</v>
      </c>
      <c r="M68" s="153">
        <f>L68+SUM(L80:L89)</f>
        <v>180361.3</v>
      </c>
      <c r="N68" s="153">
        <v>175823.2</v>
      </c>
      <c r="O68" s="153">
        <f>(1-$T$3)*'Formula I&amp;G'!C11/1000</f>
        <v>175823.2</v>
      </c>
      <c r="P68" s="230">
        <f t="shared" ref="P68:P131" si="21">1-O68/N68</f>
        <v>0</v>
      </c>
      <c r="Q68" s="74">
        <f t="shared" ref="Q68:Q131" si="22">O68-N68</f>
        <v>0</v>
      </c>
      <c r="R68" s="153">
        <f>O68</f>
        <v>175823.2</v>
      </c>
      <c r="S68" s="259">
        <f>O68-175325.9</f>
        <v>497.30000000001746</v>
      </c>
    </row>
    <row r="69" spans="1:20" s="21" customFormat="1" x14ac:dyDescent="0.25">
      <c r="A69" s="83" t="s">
        <v>34</v>
      </c>
      <c r="B69" s="74">
        <v>2852.2</v>
      </c>
      <c r="C69" s="72">
        <v>2835.1189331792125</v>
      </c>
      <c r="D69" s="14">
        <v>2782.9</v>
      </c>
      <c r="E69" s="73">
        <f t="shared" si="17"/>
        <v>2643.8</v>
      </c>
      <c r="F69" s="14">
        <f t="shared" si="18"/>
        <v>139.09999999999991</v>
      </c>
      <c r="G69" s="85">
        <f t="shared" si="19"/>
        <v>-7.3066404880443039E-2</v>
      </c>
      <c r="H69" s="140">
        <v>2617.3000000000002</v>
      </c>
      <c r="I69" s="140">
        <v>2617.3000000000002</v>
      </c>
      <c r="J69" s="4">
        <f t="shared" si="20"/>
        <v>-1.0023451093123534E-2</v>
      </c>
      <c r="K69" s="4">
        <f>(I69-E69)/E69</f>
        <v>-1.0023451093123534E-2</v>
      </c>
      <c r="L69" s="140">
        <v>2577.6999999999998</v>
      </c>
      <c r="M69" s="140">
        <f>L69</f>
        <v>2577.6999999999998</v>
      </c>
      <c r="N69" s="140">
        <v>2617.3000000000002</v>
      </c>
      <c r="O69" s="140">
        <f>(1-$S$3)*N69</f>
        <v>2617.3000000000002</v>
      </c>
      <c r="P69" s="230">
        <f t="shared" si="21"/>
        <v>0</v>
      </c>
      <c r="Q69" s="74">
        <f t="shared" si="22"/>
        <v>0</v>
      </c>
      <c r="R69" s="140">
        <f t="shared" ref="R69:R100" si="23">O69</f>
        <v>2617.3000000000002</v>
      </c>
    </row>
    <row r="70" spans="1:20" s="21" customFormat="1" x14ac:dyDescent="0.25">
      <c r="A70" s="83" t="s">
        <v>54</v>
      </c>
      <c r="B70" s="74">
        <v>1177.3</v>
      </c>
      <c r="C70" s="72">
        <v>1170.2494635831592</v>
      </c>
      <c r="D70" s="14">
        <v>1148.5999999999999</v>
      </c>
      <c r="E70" s="73">
        <f t="shared" si="17"/>
        <v>1091.2</v>
      </c>
      <c r="F70" s="14">
        <f t="shared" si="18"/>
        <v>57.399999999999864</v>
      </c>
      <c r="G70" s="85">
        <f t="shared" si="19"/>
        <v>-7.3133440924148405E-2</v>
      </c>
      <c r="H70" s="140">
        <v>1080.2</v>
      </c>
      <c r="I70" s="140">
        <v>1080.2</v>
      </c>
      <c r="J70" s="4">
        <f t="shared" si="20"/>
        <v>-1.0080645161290322E-2</v>
      </c>
      <c r="K70" s="4">
        <f>(I70-E70)/E70</f>
        <v>-1.0080645161290322E-2</v>
      </c>
      <c r="L70" s="140">
        <v>1063.9000000000001</v>
      </c>
      <c r="M70" s="140">
        <f>L70</f>
        <v>1063.9000000000001</v>
      </c>
      <c r="N70" s="140">
        <v>1080.2</v>
      </c>
      <c r="O70" s="140">
        <f>(1-$S$3)*N70</f>
        <v>1080.2</v>
      </c>
      <c r="P70" s="230">
        <f t="shared" si="21"/>
        <v>0</v>
      </c>
      <c r="Q70" s="74">
        <f t="shared" si="22"/>
        <v>0</v>
      </c>
      <c r="R70" s="140">
        <f t="shared" si="23"/>
        <v>1080.2</v>
      </c>
    </row>
    <row r="71" spans="1:20" s="21" customFormat="1" x14ac:dyDescent="0.25">
      <c r="A71" s="69" t="s">
        <v>55</v>
      </c>
      <c r="B71" s="74">
        <v>9322.2999999999993</v>
      </c>
      <c r="C71" s="72">
        <v>9266.4712259927674</v>
      </c>
      <c r="D71" s="14">
        <v>9098.6</v>
      </c>
      <c r="E71" s="73">
        <f>ROUND((D71-81)*0.95,1)</f>
        <v>8566.7000000000007</v>
      </c>
      <c r="F71" s="14">
        <f t="shared" si="18"/>
        <v>531.89999999999964</v>
      </c>
      <c r="G71" s="85">
        <f t="shared" si="19"/>
        <v>-8.1052959033714705E-2</v>
      </c>
      <c r="H71" s="153">
        <f>ROUND('Formula I&amp;G'!C26/1000,1)</f>
        <v>8407.1</v>
      </c>
      <c r="I71" s="153">
        <f>H71+H72</f>
        <v>8599.2000000000007</v>
      </c>
      <c r="J71" s="180">
        <f t="shared" si="20"/>
        <v>-1.8630277703199638E-2</v>
      </c>
      <c r="K71" s="180">
        <f>(I71-E71)/E71</f>
        <v>3.7937595573558076E-3</v>
      </c>
      <c r="L71" s="153">
        <v>8417.1</v>
      </c>
      <c r="M71" s="153">
        <f>L71+L72</f>
        <v>8598.5</v>
      </c>
      <c r="N71" s="153">
        <v>8407.1</v>
      </c>
      <c r="O71" s="153">
        <f>(1-$T$3)*'Formula I&amp;G'!C26/1000</f>
        <v>8407.1</v>
      </c>
      <c r="P71" s="230">
        <f t="shared" si="21"/>
        <v>0</v>
      </c>
      <c r="Q71" s="74">
        <f t="shared" si="22"/>
        <v>0</v>
      </c>
      <c r="R71" s="153">
        <f t="shared" si="23"/>
        <v>8407.1</v>
      </c>
    </row>
    <row r="72" spans="1:20" s="21" customFormat="1" x14ac:dyDescent="0.25">
      <c r="A72" s="87" t="s">
        <v>56</v>
      </c>
      <c r="B72" s="91">
        <v>209.2</v>
      </c>
      <c r="C72" s="90">
        <v>207.94715686876489</v>
      </c>
      <c r="D72" s="26">
        <v>204.2</v>
      </c>
      <c r="E72" s="135">
        <f t="shared" si="17"/>
        <v>194</v>
      </c>
      <c r="F72" s="26">
        <f t="shared" si="18"/>
        <v>10.199999999999989</v>
      </c>
      <c r="G72" s="86">
        <f t="shared" si="19"/>
        <v>-7.2657743785850812E-2</v>
      </c>
      <c r="H72" s="145">
        <v>192.1</v>
      </c>
      <c r="I72" s="145">
        <v>0</v>
      </c>
      <c r="J72" s="181">
        <f t="shared" si="20"/>
        <v>-9.7938144329897201E-3</v>
      </c>
      <c r="K72" s="145">
        <v>0</v>
      </c>
      <c r="L72" s="145">
        <v>181.4</v>
      </c>
      <c r="M72" s="145">
        <v>0</v>
      </c>
      <c r="N72" s="145">
        <v>192.1</v>
      </c>
      <c r="O72" s="145">
        <f>(1-$S$3)*N72</f>
        <v>192.1</v>
      </c>
      <c r="P72" s="230">
        <f t="shared" si="21"/>
        <v>0</v>
      </c>
      <c r="Q72" s="74">
        <f t="shared" si="22"/>
        <v>0</v>
      </c>
      <c r="R72" s="153">
        <f t="shared" si="23"/>
        <v>192.1</v>
      </c>
    </row>
    <row r="73" spans="1:20" s="21" customFormat="1" x14ac:dyDescent="0.25">
      <c r="A73" s="69" t="s">
        <v>57</v>
      </c>
      <c r="B73" s="74">
        <v>1886</v>
      </c>
      <c r="C73" s="72">
        <v>1874.705247870414</v>
      </c>
      <c r="D73" s="14">
        <v>1840.6999999999998</v>
      </c>
      <c r="E73" s="73">
        <f>ROUND((D73-12.6)*0.95,1)</f>
        <v>1736.7</v>
      </c>
      <c r="F73" s="14">
        <f t="shared" si="18"/>
        <v>103.99999999999977</v>
      </c>
      <c r="G73" s="85">
        <f t="shared" si="19"/>
        <v>-7.9162248144220543E-2</v>
      </c>
      <c r="H73" s="153">
        <f>ROUND('Formula I&amp;G'!C27/1000,1)</f>
        <v>1710.4</v>
      </c>
      <c r="I73" s="153">
        <f>H73</f>
        <v>1710.4</v>
      </c>
      <c r="J73" s="180">
        <f t="shared" si="20"/>
        <v>-1.5143663269418987E-2</v>
      </c>
      <c r="K73" s="180">
        <f>(I73-E73)/E73</f>
        <v>-1.5143663269418987E-2</v>
      </c>
      <c r="L73" s="153">
        <v>1718.7</v>
      </c>
      <c r="M73" s="153">
        <f>L73</f>
        <v>1718.7</v>
      </c>
      <c r="N73" s="153">
        <v>1710.4</v>
      </c>
      <c r="O73" s="153">
        <f>(1-$T$3)*'Formula I&amp;G'!C27/1000</f>
        <v>1710.4</v>
      </c>
      <c r="P73" s="230">
        <f t="shared" si="21"/>
        <v>0</v>
      </c>
      <c r="Q73" s="74">
        <f t="shared" si="22"/>
        <v>0</v>
      </c>
      <c r="R73" s="153">
        <f t="shared" si="23"/>
        <v>1710.4</v>
      </c>
    </row>
    <row r="74" spans="1:20" s="21" customFormat="1" x14ac:dyDescent="0.25">
      <c r="A74" s="69" t="s">
        <v>58</v>
      </c>
      <c r="B74" s="74">
        <v>5595.9</v>
      </c>
      <c r="C74" s="72">
        <v>5562.3876439862397</v>
      </c>
      <c r="D74" s="14">
        <v>5460.5</v>
      </c>
      <c r="E74" s="73">
        <f>ROUND((D74-3)*0.95,1)</f>
        <v>5184.6000000000004</v>
      </c>
      <c r="F74" s="14">
        <f t="shared" si="18"/>
        <v>275.89999999999964</v>
      </c>
      <c r="G74" s="85">
        <f t="shared" si="19"/>
        <v>-7.3500241248056486E-2</v>
      </c>
      <c r="H74" s="153">
        <f>ROUND('Formula I&amp;G'!C29/1000,1)</f>
        <v>5135.2</v>
      </c>
      <c r="I74" s="153">
        <f>SUM(H74:H75)</f>
        <v>5291</v>
      </c>
      <c r="J74" s="180">
        <f t="shared" si="20"/>
        <v>-9.5282181846237986E-3</v>
      </c>
      <c r="K74" s="180">
        <f>(I74-E74)/E74</f>
        <v>2.0522316089958654E-2</v>
      </c>
      <c r="L74" s="153">
        <v>5189.5</v>
      </c>
      <c r="M74" s="153">
        <f>SUM(L74:L75)</f>
        <v>5336.7</v>
      </c>
      <c r="N74" s="153">
        <v>5135.2</v>
      </c>
      <c r="O74" s="153">
        <f>(1-$T$3)*'Formula I&amp;G'!C29/1000</f>
        <v>5135.2</v>
      </c>
      <c r="P74" s="230">
        <f t="shared" si="21"/>
        <v>0</v>
      </c>
      <c r="Q74" s="74">
        <f t="shared" si="22"/>
        <v>0</v>
      </c>
      <c r="R74" s="153">
        <f t="shared" si="23"/>
        <v>5135.2</v>
      </c>
    </row>
    <row r="75" spans="1:20" s="21" customFormat="1" x14ac:dyDescent="0.25">
      <c r="A75" s="87" t="s">
        <v>59</v>
      </c>
      <c r="B75" s="91">
        <v>169.8</v>
      </c>
      <c r="C75" s="90">
        <v>168.78311298430347</v>
      </c>
      <c r="D75" s="26">
        <v>165.7</v>
      </c>
      <c r="E75" s="135">
        <f t="shared" si="17"/>
        <v>157.4</v>
      </c>
      <c r="F75" s="26">
        <f t="shared" si="18"/>
        <v>8.2999999999999829</v>
      </c>
      <c r="G75" s="86">
        <f t="shared" si="19"/>
        <v>-7.3027090694935251E-2</v>
      </c>
      <c r="H75" s="145">
        <v>155.80000000000001</v>
      </c>
      <c r="I75" s="145">
        <v>0</v>
      </c>
      <c r="J75" s="181">
        <f t="shared" si="20"/>
        <v>-1.0165184243964386E-2</v>
      </c>
      <c r="K75" s="145">
        <v>0</v>
      </c>
      <c r="L75" s="145">
        <v>147.19999999999999</v>
      </c>
      <c r="M75" s="145">
        <v>0</v>
      </c>
      <c r="N75" s="145">
        <v>155.80000000000001</v>
      </c>
      <c r="O75" s="145">
        <f>(1-$S$3)*N75</f>
        <v>155.80000000000001</v>
      </c>
      <c r="P75" s="230">
        <f t="shared" si="21"/>
        <v>0</v>
      </c>
      <c r="Q75" s="74">
        <f t="shared" si="22"/>
        <v>0</v>
      </c>
      <c r="R75" s="153">
        <f t="shared" si="23"/>
        <v>155.80000000000001</v>
      </c>
    </row>
    <row r="76" spans="1:20" s="21" customFormat="1" x14ac:dyDescent="0.25">
      <c r="A76" s="69" t="s">
        <v>60</v>
      </c>
      <c r="B76" s="74">
        <v>3544.9</v>
      </c>
      <c r="C76" s="72">
        <v>3523.6705372088181</v>
      </c>
      <c r="D76" s="14">
        <v>3469.9</v>
      </c>
      <c r="E76" s="73">
        <f t="shared" si="17"/>
        <v>3296.4</v>
      </c>
      <c r="F76" s="14">
        <f t="shared" si="18"/>
        <v>173.5</v>
      </c>
      <c r="G76" s="85">
        <f t="shared" si="19"/>
        <v>-7.0100708059465708E-2</v>
      </c>
      <c r="H76" s="153">
        <f>ROUND('Formula I&amp;G'!C28/1000,1)</f>
        <v>3274.1</v>
      </c>
      <c r="I76" s="153">
        <f>SUM(H76:H77)</f>
        <v>3497.9</v>
      </c>
      <c r="J76" s="180">
        <f t="shared" si="20"/>
        <v>-6.7649557092586401E-3</v>
      </c>
      <c r="K76" s="180">
        <f>(I76-E76)/E76</f>
        <v>6.1127290377381384E-2</v>
      </c>
      <c r="L76" s="153">
        <v>3318</v>
      </c>
      <c r="M76" s="153">
        <f>SUM(L76:L77)</f>
        <v>3529.4</v>
      </c>
      <c r="N76" s="153">
        <v>3274.1</v>
      </c>
      <c r="O76" s="153">
        <f>(1-$T$3)*'Formula I&amp;G'!C28/1000</f>
        <v>3274.1</v>
      </c>
      <c r="P76" s="230">
        <f t="shared" si="21"/>
        <v>0</v>
      </c>
      <c r="Q76" s="74">
        <f t="shared" si="22"/>
        <v>0</v>
      </c>
      <c r="R76" s="153">
        <f t="shared" si="23"/>
        <v>3274.1</v>
      </c>
    </row>
    <row r="77" spans="1:20" s="21" customFormat="1" x14ac:dyDescent="0.25">
      <c r="A77" s="87" t="s">
        <v>61</v>
      </c>
      <c r="B77" s="91">
        <v>243.9</v>
      </c>
      <c r="C77" s="90">
        <v>242.4393478025419</v>
      </c>
      <c r="D77" s="26">
        <v>238</v>
      </c>
      <c r="E77" s="135">
        <f t="shared" si="17"/>
        <v>226.1</v>
      </c>
      <c r="F77" s="26">
        <f t="shared" si="18"/>
        <v>11.900000000000006</v>
      </c>
      <c r="G77" s="86">
        <f t="shared" si="19"/>
        <v>-7.2980729807298111E-2</v>
      </c>
      <c r="H77" s="145">
        <v>223.8</v>
      </c>
      <c r="I77" s="145">
        <v>0</v>
      </c>
      <c r="J77" s="181">
        <f t="shared" si="20"/>
        <v>-1.0172490048650965E-2</v>
      </c>
      <c r="K77" s="145">
        <v>0</v>
      </c>
      <c r="L77" s="145">
        <v>211.4</v>
      </c>
      <c r="M77" s="145">
        <v>0</v>
      </c>
      <c r="N77" s="145">
        <v>223.8</v>
      </c>
      <c r="O77" s="145">
        <f>(1-$S$3)*N77</f>
        <v>223.8</v>
      </c>
      <c r="P77" s="230">
        <f t="shared" si="21"/>
        <v>0</v>
      </c>
      <c r="Q77" s="74">
        <f t="shared" si="22"/>
        <v>0</v>
      </c>
      <c r="R77" s="153">
        <f t="shared" si="23"/>
        <v>223.8</v>
      </c>
    </row>
    <row r="78" spans="1:20" s="21" customFormat="1" x14ac:dyDescent="0.25">
      <c r="A78" s="88" t="s">
        <v>62</v>
      </c>
      <c r="B78" s="74"/>
      <c r="C78" s="72"/>
      <c r="D78" s="14"/>
      <c r="E78" s="73"/>
      <c r="F78" s="14"/>
      <c r="G78" s="85"/>
      <c r="H78" s="140"/>
      <c r="I78" s="140"/>
      <c r="J78" s="4"/>
      <c r="K78" s="4"/>
      <c r="L78" s="140"/>
      <c r="M78" s="140"/>
      <c r="N78" s="140"/>
      <c r="O78" s="140"/>
      <c r="P78" s="230"/>
      <c r="Q78" s="74"/>
      <c r="R78" s="153">
        <f t="shared" si="23"/>
        <v>0</v>
      </c>
    </row>
    <row r="79" spans="1:20" s="21" customFormat="1" x14ac:dyDescent="0.25">
      <c r="A79" s="71" t="s">
        <v>63</v>
      </c>
      <c r="B79" s="74">
        <v>0</v>
      </c>
      <c r="C79" s="72">
        <v>0</v>
      </c>
      <c r="D79" s="14">
        <v>0</v>
      </c>
      <c r="E79" s="73">
        <f t="shared" si="17"/>
        <v>0</v>
      </c>
      <c r="F79" s="14">
        <f t="shared" si="18"/>
        <v>0</v>
      </c>
      <c r="G79" s="85">
        <f t="shared" ref="G79:G101" si="24">IFERROR(((+E79-B79)/B79),0)</f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f t="shared" ref="O79:O100" si="25">(1-$S$3)*N79</f>
        <v>0</v>
      </c>
      <c r="P79" s="230"/>
      <c r="Q79" s="74"/>
      <c r="R79" s="153">
        <f t="shared" si="23"/>
        <v>0</v>
      </c>
    </row>
    <row r="80" spans="1:20" s="21" customFormat="1" x14ac:dyDescent="0.25">
      <c r="A80" s="87" t="s">
        <v>64</v>
      </c>
      <c r="B80" s="91">
        <v>23</v>
      </c>
      <c r="C80" s="90">
        <v>22.862259120370904</v>
      </c>
      <c r="D80" s="26">
        <v>22.4</v>
      </c>
      <c r="E80" s="135">
        <f t="shared" si="17"/>
        <v>21.3</v>
      </c>
      <c r="F80" s="26">
        <f t="shared" si="18"/>
        <v>1.0999999999999979</v>
      </c>
      <c r="G80" s="86">
        <f t="shared" si="24"/>
        <v>-7.3913043478260845E-2</v>
      </c>
      <c r="H80" s="145">
        <v>21</v>
      </c>
      <c r="I80" s="145">
        <v>0</v>
      </c>
      <c r="J80" s="181">
        <f t="shared" ref="J80:J96" si="26">(H80-E80)/E80</f>
        <v>-1.4084507042253554E-2</v>
      </c>
      <c r="K80" s="145">
        <v>0</v>
      </c>
      <c r="L80" s="145">
        <v>19.899999999999999</v>
      </c>
      <c r="M80" s="145">
        <v>0</v>
      </c>
      <c r="N80" s="145">
        <v>21</v>
      </c>
      <c r="O80" s="145">
        <f t="shared" si="25"/>
        <v>21</v>
      </c>
      <c r="P80" s="230">
        <f t="shared" si="21"/>
        <v>0</v>
      </c>
      <c r="Q80" s="74">
        <f t="shared" si="22"/>
        <v>0</v>
      </c>
      <c r="R80" s="140">
        <f t="shared" si="23"/>
        <v>21</v>
      </c>
    </row>
    <row r="81" spans="1:42" s="252" customFormat="1" x14ac:dyDescent="0.25">
      <c r="A81" s="245" t="s">
        <v>71</v>
      </c>
      <c r="B81" s="246">
        <v>90.6</v>
      </c>
      <c r="C81" s="247">
        <v>90.05742070893929</v>
      </c>
      <c r="D81" s="248">
        <v>88.4</v>
      </c>
      <c r="E81" s="249">
        <f t="shared" si="17"/>
        <v>84</v>
      </c>
      <c r="F81" s="248">
        <f t="shared" ref="F81:F89" si="27">D81-E81</f>
        <v>4.4000000000000057</v>
      </c>
      <c r="G81" s="250">
        <f t="shared" si="24"/>
        <v>-7.284768211920524E-2</v>
      </c>
      <c r="H81" s="154">
        <v>83.1</v>
      </c>
      <c r="I81" s="154">
        <v>0</v>
      </c>
      <c r="J81" s="192">
        <f t="shared" si="26"/>
        <v>-1.0714285714285782E-2</v>
      </c>
      <c r="K81" s="154">
        <v>0</v>
      </c>
      <c r="L81" s="154">
        <v>78.5</v>
      </c>
      <c r="M81" s="154">
        <v>0</v>
      </c>
      <c r="N81" s="154">
        <v>83.1</v>
      </c>
      <c r="O81" s="154">
        <f t="shared" si="25"/>
        <v>83.1</v>
      </c>
      <c r="P81" s="251">
        <f t="shared" si="21"/>
        <v>0</v>
      </c>
      <c r="Q81" s="246">
        <f t="shared" si="22"/>
        <v>0</v>
      </c>
      <c r="R81" s="140">
        <f t="shared" si="23"/>
        <v>83.1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s="21" customFormat="1" x14ac:dyDescent="0.25">
      <c r="A82" s="87" t="s">
        <v>72</v>
      </c>
      <c r="B82" s="91">
        <v>561.9</v>
      </c>
      <c r="C82" s="90">
        <v>558.53493042332218</v>
      </c>
      <c r="D82" s="26">
        <v>548.20000000000005</v>
      </c>
      <c r="E82" s="135">
        <f t="shared" si="17"/>
        <v>520.79999999999995</v>
      </c>
      <c r="F82" s="26">
        <f t="shared" si="27"/>
        <v>27.400000000000091</v>
      </c>
      <c r="G82" s="86">
        <f t="shared" si="24"/>
        <v>-7.3144687666844677E-2</v>
      </c>
      <c r="H82" s="145">
        <v>515.5</v>
      </c>
      <c r="I82" s="145">
        <v>0</v>
      </c>
      <c r="J82" s="181">
        <f t="shared" si="26"/>
        <v>-1.0176651305683477E-2</v>
      </c>
      <c r="K82" s="145">
        <v>0</v>
      </c>
      <c r="L82" s="145">
        <v>486.9</v>
      </c>
      <c r="M82" s="145">
        <v>0</v>
      </c>
      <c r="N82" s="145">
        <v>515.5</v>
      </c>
      <c r="O82" s="145">
        <f t="shared" si="25"/>
        <v>515.5</v>
      </c>
      <c r="P82" s="230">
        <f t="shared" si="21"/>
        <v>0</v>
      </c>
      <c r="Q82" s="74">
        <f t="shared" si="22"/>
        <v>0</v>
      </c>
      <c r="R82" s="140">
        <f t="shared" si="23"/>
        <v>515.5</v>
      </c>
    </row>
    <row r="83" spans="1:42" s="252" customFormat="1" x14ac:dyDescent="0.25">
      <c r="A83" s="245" t="s">
        <v>73</v>
      </c>
      <c r="B83" s="246">
        <v>96.4</v>
      </c>
      <c r="C83" s="247">
        <v>95.82268605233719</v>
      </c>
      <c r="D83" s="248">
        <v>94</v>
      </c>
      <c r="E83" s="249">
        <f t="shared" si="17"/>
        <v>89.3</v>
      </c>
      <c r="F83" s="248">
        <f t="shared" si="27"/>
        <v>4.7000000000000028</v>
      </c>
      <c r="G83" s="250">
        <f t="shared" si="24"/>
        <v>-7.3651452282157762E-2</v>
      </c>
      <c r="H83" s="154">
        <v>88.4</v>
      </c>
      <c r="I83" s="154">
        <v>0</v>
      </c>
      <c r="J83" s="192">
        <f t="shared" si="26"/>
        <v>-1.0078387458006623E-2</v>
      </c>
      <c r="K83" s="154">
        <v>0</v>
      </c>
      <c r="L83" s="154">
        <v>83.5</v>
      </c>
      <c r="M83" s="154">
        <v>0</v>
      </c>
      <c r="N83" s="154">
        <v>88.4</v>
      </c>
      <c r="O83" s="154">
        <f t="shared" si="25"/>
        <v>88.4</v>
      </c>
      <c r="P83" s="251">
        <f t="shared" si="21"/>
        <v>0</v>
      </c>
      <c r="Q83" s="246">
        <f t="shared" si="22"/>
        <v>0</v>
      </c>
      <c r="R83" s="140">
        <f t="shared" si="23"/>
        <v>88.4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s="252" customFormat="1" x14ac:dyDescent="0.25">
      <c r="A84" s="245" t="s">
        <v>74</v>
      </c>
      <c r="B84" s="246">
        <v>47.6</v>
      </c>
      <c r="C84" s="247">
        <v>47.314936266506741</v>
      </c>
      <c r="D84" s="248">
        <v>46.4</v>
      </c>
      <c r="E84" s="249">
        <f t="shared" si="17"/>
        <v>44.1</v>
      </c>
      <c r="F84" s="248">
        <f t="shared" si="27"/>
        <v>2.2999999999999972</v>
      </c>
      <c r="G84" s="250">
        <f t="shared" si="24"/>
        <v>-7.3529411764705885E-2</v>
      </c>
      <c r="H84" s="154">
        <v>43.6</v>
      </c>
      <c r="I84" s="154">
        <v>0</v>
      </c>
      <c r="J84" s="192">
        <f t="shared" si="26"/>
        <v>-1.1337868480725623E-2</v>
      </c>
      <c r="K84" s="154">
        <v>0</v>
      </c>
      <c r="L84" s="154">
        <v>22.7</v>
      </c>
      <c r="M84" s="154">
        <v>0</v>
      </c>
      <c r="N84" s="154">
        <v>43.6</v>
      </c>
      <c r="O84" s="154">
        <f t="shared" si="25"/>
        <v>43.6</v>
      </c>
      <c r="P84" s="251">
        <f t="shared" si="21"/>
        <v>0</v>
      </c>
      <c r="Q84" s="246">
        <f t="shared" si="22"/>
        <v>0</v>
      </c>
      <c r="R84" s="140">
        <f t="shared" si="23"/>
        <v>43.6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s="21" customFormat="1" x14ac:dyDescent="0.25">
      <c r="A85" s="87" t="s">
        <v>75</v>
      </c>
      <c r="B85" s="91">
        <v>191.9</v>
      </c>
      <c r="C85" s="90">
        <v>190.7507619651816</v>
      </c>
      <c r="D85" s="26">
        <v>187.2</v>
      </c>
      <c r="E85" s="135">
        <f t="shared" si="17"/>
        <v>177.8</v>
      </c>
      <c r="F85" s="26">
        <f t="shared" si="27"/>
        <v>9.3999999999999773</v>
      </c>
      <c r="G85" s="86">
        <f t="shared" si="24"/>
        <v>-7.3475768629494495E-2</v>
      </c>
      <c r="H85" s="145">
        <v>176.1</v>
      </c>
      <c r="I85" s="145">
        <v>0</v>
      </c>
      <c r="J85" s="181">
        <f t="shared" si="26"/>
        <v>-9.5613048368954831E-3</v>
      </c>
      <c r="K85" s="145">
        <v>0</v>
      </c>
      <c r="L85" s="145">
        <v>166.2</v>
      </c>
      <c r="M85" s="145">
        <v>0</v>
      </c>
      <c r="N85" s="145">
        <v>176.1</v>
      </c>
      <c r="O85" s="145">
        <f t="shared" si="25"/>
        <v>176.1</v>
      </c>
      <c r="P85" s="230">
        <f t="shared" si="21"/>
        <v>0</v>
      </c>
      <c r="Q85" s="74">
        <f t="shared" si="22"/>
        <v>0</v>
      </c>
      <c r="R85" s="140">
        <f t="shared" si="23"/>
        <v>176.1</v>
      </c>
    </row>
    <row r="86" spans="1:42" s="21" customFormat="1" x14ac:dyDescent="0.25">
      <c r="A86" s="87" t="s">
        <v>76</v>
      </c>
      <c r="B86" s="91">
        <v>969.3</v>
      </c>
      <c r="C86" s="90">
        <v>963.49512023371813</v>
      </c>
      <c r="D86" s="26">
        <v>945.8</v>
      </c>
      <c r="E86" s="135">
        <f t="shared" si="17"/>
        <v>898.5</v>
      </c>
      <c r="F86" s="26">
        <f t="shared" si="27"/>
        <v>47.299999999999955</v>
      </c>
      <c r="G86" s="86">
        <f t="shared" si="24"/>
        <v>-7.3042401733209486E-2</v>
      </c>
      <c r="H86" s="145">
        <v>889.5</v>
      </c>
      <c r="I86" s="145">
        <v>0</v>
      </c>
      <c r="J86" s="181">
        <f t="shared" si="26"/>
        <v>-1.001669449081803E-2</v>
      </c>
      <c r="K86" s="145">
        <v>0</v>
      </c>
      <c r="L86" s="145">
        <v>840.1</v>
      </c>
      <c r="M86" s="145">
        <v>0</v>
      </c>
      <c r="N86" s="145">
        <v>889.5</v>
      </c>
      <c r="O86" s="145">
        <f t="shared" si="25"/>
        <v>889.5</v>
      </c>
      <c r="P86" s="230">
        <f t="shared" si="21"/>
        <v>0</v>
      </c>
      <c r="Q86" s="74">
        <f t="shared" si="22"/>
        <v>0</v>
      </c>
      <c r="R86" s="140">
        <f t="shared" si="23"/>
        <v>889.5</v>
      </c>
    </row>
    <row r="87" spans="1:42" s="252" customFormat="1" x14ac:dyDescent="0.25">
      <c r="A87" s="245" t="s">
        <v>77</v>
      </c>
      <c r="B87" s="246">
        <v>568.6</v>
      </c>
      <c r="C87" s="247">
        <v>565.19480590621288</v>
      </c>
      <c r="D87" s="248">
        <v>554.79999999999995</v>
      </c>
      <c r="E87" s="249">
        <f t="shared" si="17"/>
        <v>527.1</v>
      </c>
      <c r="F87" s="248">
        <f t="shared" si="27"/>
        <v>27.699999999999932</v>
      </c>
      <c r="G87" s="250">
        <f t="shared" si="24"/>
        <v>-7.2986282096377059E-2</v>
      </c>
      <c r="H87" s="154">
        <v>521.79999999999995</v>
      </c>
      <c r="I87" s="154">
        <v>0</v>
      </c>
      <c r="J87" s="192">
        <f t="shared" si="26"/>
        <v>-1.0055018023145642E-2</v>
      </c>
      <c r="K87" s="154">
        <v>0</v>
      </c>
      <c r="L87" s="154">
        <v>492.8</v>
      </c>
      <c r="M87" s="154">
        <v>0</v>
      </c>
      <c r="N87" s="154">
        <v>521.79999999999995</v>
      </c>
      <c r="O87" s="154">
        <f t="shared" si="25"/>
        <v>521.79999999999995</v>
      </c>
      <c r="P87" s="251">
        <f t="shared" si="21"/>
        <v>0</v>
      </c>
      <c r="Q87" s="246">
        <f t="shared" si="22"/>
        <v>0</v>
      </c>
      <c r="R87" s="140">
        <f t="shared" si="23"/>
        <v>521.79999999999995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s="21" customFormat="1" x14ac:dyDescent="0.25">
      <c r="A88" s="89" t="s">
        <v>78</v>
      </c>
      <c r="B88" s="91">
        <v>171.9</v>
      </c>
      <c r="C88" s="90">
        <v>170.87053664311992</v>
      </c>
      <c r="D88" s="26">
        <v>167.7</v>
      </c>
      <c r="E88" s="135">
        <f t="shared" si="17"/>
        <v>159.30000000000001</v>
      </c>
      <c r="F88" s="26">
        <f t="shared" si="27"/>
        <v>8.3999999999999773</v>
      </c>
      <c r="G88" s="86">
        <f t="shared" si="24"/>
        <v>-7.3298429319371694E-2</v>
      </c>
      <c r="H88" s="145">
        <v>157.69999999999999</v>
      </c>
      <c r="I88" s="145">
        <v>0</v>
      </c>
      <c r="J88" s="181">
        <f t="shared" si="26"/>
        <v>-1.0043942247332219E-2</v>
      </c>
      <c r="K88" s="145">
        <v>0</v>
      </c>
      <c r="L88" s="145">
        <v>148.9</v>
      </c>
      <c r="M88" s="145">
        <v>0</v>
      </c>
      <c r="N88" s="145">
        <v>157.69999999999999</v>
      </c>
      <c r="O88" s="145">
        <f t="shared" si="25"/>
        <v>157.69999999999999</v>
      </c>
      <c r="P88" s="230">
        <f t="shared" si="21"/>
        <v>0</v>
      </c>
      <c r="Q88" s="74">
        <f t="shared" si="22"/>
        <v>0</v>
      </c>
      <c r="R88" s="140">
        <f t="shared" si="23"/>
        <v>157.69999999999999</v>
      </c>
    </row>
    <row r="89" spans="1:42" s="252" customFormat="1" x14ac:dyDescent="0.25">
      <c r="A89" s="245" t="s">
        <v>80</v>
      </c>
      <c r="B89" s="246">
        <v>292.3</v>
      </c>
      <c r="C89" s="247">
        <v>290.54949308193113</v>
      </c>
      <c r="D89" s="248">
        <v>285.2</v>
      </c>
      <c r="E89" s="249">
        <f t="shared" si="17"/>
        <v>270.89999999999998</v>
      </c>
      <c r="F89" s="248">
        <f t="shared" si="27"/>
        <v>14.300000000000011</v>
      </c>
      <c r="G89" s="250">
        <f t="shared" si="24"/>
        <v>-7.3212452959288521E-2</v>
      </c>
      <c r="H89" s="154">
        <v>268.10000000000002</v>
      </c>
      <c r="I89" s="154">
        <v>0</v>
      </c>
      <c r="J89" s="192">
        <f t="shared" si="26"/>
        <v>-1.0335917312661331E-2</v>
      </c>
      <c r="K89" s="154">
        <v>0</v>
      </c>
      <c r="L89" s="154">
        <v>253.3</v>
      </c>
      <c r="M89" s="154">
        <v>0</v>
      </c>
      <c r="N89" s="154">
        <v>268.10000000000002</v>
      </c>
      <c r="O89" s="154">
        <f t="shared" si="25"/>
        <v>268.10000000000002</v>
      </c>
      <c r="P89" s="251">
        <f t="shared" si="21"/>
        <v>0</v>
      </c>
      <c r="Q89" s="246">
        <f t="shared" si="22"/>
        <v>0</v>
      </c>
      <c r="R89" s="140">
        <f t="shared" si="23"/>
        <v>268.10000000000002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s="21" customFormat="1" x14ac:dyDescent="0.25">
      <c r="A90" s="71" t="s">
        <v>65</v>
      </c>
      <c r="B90" s="74">
        <v>1137</v>
      </c>
      <c r="C90" s="72">
        <v>1130.190809559205</v>
      </c>
      <c r="D90" s="14">
        <v>1109.4000000000001</v>
      </c>
      <c r="E90" s="73">
        <f t="shared" si="17"/>
        <v>1053.9000000000001</v>
      </c>
      <c r="F90" s="14">
        <f t="shared" si="18"/>
        <v>55.5</v>
      </c>
      <c r="G90" s="85">
        <f t="shared" si="24"/>
        <v>-7.3087071240105467E-2</v>
      </c>
      <c r="H90" s="140">
        <v>1043.3</v>
      </c>
      <c r="I90" s="140">
        <v>1043.3</v>
      </c>
      <c r="J90" s="4">
        <f t="shared" si="26"/>
        <v>-1.0057880254293704E-2</v>
      </c>
      <c r="K90" s="4">
        <f t="shared" ref="K90:K96" si="28">(I90-E90)/E90</f>
        <v>-1.0057880254293704E-2</v>
      </c>
      <c r="L90" s="140">
        <v>1053.9000000000001</v>
      </c>
      <c r="M90" s="140">
        <f t="shared" ref="M90:M96" si="29">L90</f>
        <v>1053.9000000000001</v>
      </c>
      <c r="N90" s="140">
        <v>1043.3</v>
      </c>
      <c r="O90" s="140">
        <f t="shared" si="25"/>
        <v>1043.3</v>
      </c>
      <c r="P90" s="230">
        <f t="shared" si="21"/>
        <v>0</v>
      </c>
      <c r="Q90" s="74">
        <f t="shared" si="22"/>
        <v>0</v>
      </c>
      <c r="R90" s="140">
        <f t="shared" si="23"/>
        <v>1043.3</v>
      </c>
    </row>
    <row r="91" spans="1:42" s="21" customFormat="1" x14ac:dyDescent="0.25">
      <c r="A91" s="71" t="s">
        <v>66</v>
      </c>
      <c r="B91" s="74">
        <v>138.19999999999999</v>
      </c>
      <c r="C91" s="72">
        <v>137.37235697544602</v>
      </c>
      <c r="D91" s="14">
        <v>72.400000000000006</v>
      </c>
      <c r="E91" s="73">
        <f t="shared" si="17"/>
        <v>68.8</v>
      </c>
      <c r="F91" s="14">
        <f t="shared" si="18"/>
        <v>3.6000000000000085</v>
      </c>
      <c r="G91" s="85">
        <f t="shared" si="24"/>
        <v>-0.50217076700434149</v>
      </c>
      <c r="H91" s="140">
        <v>68.099999999999994</v>
      </c>
      <c r="I91" s="140">
        <v>68.099999999999994</v>
      </c>
      <c r="J91" s="4">
        <f t="shared" si="26"/>
        <v>-1.0174418604651205E-2</v>
      </c>
      <c r="K91" s="4">
        <f t="shared" si="28"/>
        <v>-1.0174418604651205E-2</v>
      </c>
      <c r="L91" s="140">
        <v>68.8</v>
      </c>
      <c r="M91" s="140">
        <f t="shared" si="29"/>
        <v>68.8</v>
      </c>
      <c r="N91" s="140">
        <v>68.099999999999994</v>
      </c>
      <c r="O91" s="140">
        <f t="shared" si="25"/>
        <v>68.099999999999994</v>
      </c>
      <c r="P91" s="230">
        <f t="shared" si="21"/>
        <v>0</v>
      </c>
      <c r="Q91" s="74">
        <f t="shared" si="22"/>
        <v>0</v>
      </c>
      <c r="R91" s="140">
        <f t="shared" si="23"/>
        <v>68.099999999999994</v>
      </c>
    </row>
    <row r="92" spans="1:42" s="21" customFormat="1" x14ac:dyDescent="0.25">
      <c r="A92" s="71" t="s">
        <v>67</v>
      </c>
      <c r="B92" s="74">
        <v>66.3</v>
      </c>
      <c r="C92" s="72">
        <v>65.902946942634387</v>
      </c>
      <c r="D92" s="14">
        <v>64.7</v>
      </c>
      <c r="E92" s="73">
        <f t="shared" si="17"/>
        <v>61.5</v>
      </c>
      <c r="F92" s="14">
        <f t="shared" si="18"/>
        <v>3.2000000000000028</v>
      </c>
      <c r="G92" s="85">
        <f t="shared" si="24"/>
        <v>-7.2398190045248834E-2</v>
      </c>
      <c r="H92" s="140">
        <v>60.8</v>
      </c>
      <c r="I92" s="140">
        <v>60.8</v>
      </c>
      <c r="J92" s="4">
        <f t="shared" si="26"/>
        <v>-1.1382113821138257E-2</v>
      </c>
      <c r="K92" s="4">
        <f t="shared" si="28"/>
        <v>-1.1382113821138257E-2</v>
      </c>
      <c r="L92" s="140">
        <v>61.5</v>
      </c>
      <c r="M92" s="140">
        <f t="shared" si="29"/>
        <v>61.5</v>
      </c>
      <c r="N92" s="140">
        <v>60.8</v>
      </c>
      <c r="O92" s="140">
        <f t="shared" si="25"/>
        <v>60.8</v>
      </c>
      <c r="P92" s="230">
        <f t="shared" si="21"/>
        <v>0</v>
      </c>
      <c r="Q92" s="74">
        <f t="shared" si="22"/>
        <v>0</v>
      </c>
      <c r="R92" s="140">
        <f t="shared" si="23"/>
        <v>60.8</v>
      </c>
    </row>
    <row r="93" spans="1:42" s="21" customFormat="1" x14ac:dyDescent="0.25">
      <c r="A93" s="71" t="s">
        <v>68</v>
      </c>
      <c r="B93" s="74">
        <v>207.6</v>
      </c>
      <c r="C93" s="72">
        <v>206.35673884299999</v>
      </c>
      <c r="D93" s="14">
        <v>202.6</v>
      </c>
      <c r="E93" s="73">
        <f t="shared" si="17"/>
        <v>192.5</v>
      </c>
      <c r="F93" s="14">
        <f t="shared" si="18"/>
        <v>10.099999999999994</v>
      </c>
      <c r="G93" s="85">
        <f t="shared" si="24"/>
        <v>-7.2736030828516346E-2</v>
      </c>
      <c r="H93" s="140">
        <v>190.5</v>
      </c>
      <c r="I93" s="140">
        <v>190.5</v>
      </c>
      <c r="J93" s="4">
        <f t="shared" si="26"/>
        <v>-1.038961038961039E-2</v>
      </c>
      <c r="K93" s="4">
        <f t="shared" si="28"/>
        <v>-1.038961038961039E-2</v>
      </c>
      <c r="L93" s="140">
        <v>192.5</v>
      </c>
      <c r="M93" s="140">
        <f t="shared" si="29"/>
        <v>192.5</v>
      </c>
      <c r="N93" s="140">
        <v>190.5</v>
      </c>
      <c r="O93" s="140">
        <f t="shared" si="25"/>
        <v>190.5</v>
      </c>
      <c r="P93" s="230">
        <f t="shared" si="21"/>
        <v>0</v>
      </c>
      <c r="Q93" s="74">
        <f t="shared" si="22"/>
        <v>0</v>
      </c>
      <c r="R93" s="140">
        <f t="shared" si="23"/>
        <v>190.5</v>
      </c>
    </row>
    <row r="94" spans="1:42" s="21" customFormat="1" x14ac:dyDescent="0.25">
      <c r="A94" s="71" t="s">
        <v>69</v>
      </c>
      <c r="B94" s="74">
        <v>384.7</v>
      </c>
      <c r="C94" s="72">
        <v>382.39613406985592</v>
      </c>
      <c r="D94" s="14">
        <v>375.3</v>
      </c>
      <c r="E94" s="73">
        <f t="shared" si="17"/>
        <v>356.5</v>
      </c>
      <c r="F94" s="14">
        <f t="shared" si="18"/>
        <v>18.800000000000011</v>
      </c>
      <c r="G94" s="85">
        <f t="shared" si="24"/>
        <v>-7.3303873147907428E-2</v>
      </c>
      <c r="H94" s="140">
        <v>353</v>
      </c>
      <c r="I94" s="140">
        <v>353</v>
      </c>
      <c r="J94" s="4">
        <f t="shared" si="26"/>
        <v>-9.8176718092566617E-3</v>
      </c>
      <c r="K94" s="4">
        <f t="shared" si="28"/>
        <v>-9.8176718092566617E-3</v>
      </c>
      <c r="L94" s="140">
        <v>356.5</v>
      </c>
      <c r="M94" s="140">
        <f t="shared" si="29"/>
        <v>356.5</v>
      </c>
      <c r="N94" s="140">
        <v>353</v>
      </c>
      <c r="O94" s="140">
        <f t="shared" si="25"/>
        <v>353</v>
      </c>
      <c r="P94" s="230">
        <f t="shared" si="21"/>
        <v>0</v>
      </c>
      <c r="Q94" s="74">
        <f t="shared" si="22"/>
        <v>0</v>
      </c>
      <c r="R94" s="140">
        <f t="shared" si="23"/>
        <v>353</v>
      </c>
    </row>
    <row r="95" spans="1:42" s="21" customFormat="1" x14ac:dyDescent="0.25">
      <c r="A95" s="71" t="s">
        <v>70</v>
      </c>
      <c r="B95" s="74">
        <v>48</v>
      </c>
      <c r="C95" s="72">
        <v>47.712540772947975</v>
      </c>
      <c r="D95" s="14">
        <v>46.8</v>
      </c>
      <c r="E95" s="73">
        <f t="shared" si="17"/>
        <v>44.5</v>
      </c>
      <c r="F95" s="14">
        <f t="shared" si="18"/>
        <v>2.2999999999999972</v>
      </c>
      <c r="G95" s="85">
        <f t="shared" si="24"/>
        <v>-7.2916666666666671E-2</v>
      </c>
      <c r="H95" s="140">
        <v>44</v>
      </c>
      <c r="I95" s="140">
        <v>44</v>
      </c>
      <c r="J95" s="4">
        <f t="shared" si="26"/>
        <v>-1.1235955056179775E-2</v>
      </c>
      <c r="K95" s="4">
        <f t="shared" si="28"/>
        <v>-1.1235955056179775E-2</v>
      </c>
      <c r="L95" s="140">
        <v>44.5</v>
      </c>
      <c r="M95" s="140">
        <f t="shared" si="29"/>
        <v>44.5</v>
      </c>
      <c r="N95" s="140">
        <v>44</v>
      </c>
      <c r="O95" s="140">
        <f t="shared" si="25"/>
        <v>44</v>
      </c>
      <c r="P95" s="230">
        <f t="shared" si="21"/>
        <v>0</v>
      </c>
      <c r="Q95" s="74">
        <f t="shared" si="22"/>
        <v>0</v>
      </c>
      <c r="R95" s="140">
        <f t="shared" si="23"/>
        <v>44</v>
      </c>
    </row>
    <row r="96" spans="1:42" s="21" customFormat="1" x14ac:dyDescent="0.25">
      <c r="A96" s="71" t="s">
        <v>79</v>
      </c>
      <c r="B96" s="74">
        <v>346.3</v>
      </c>
      <c r="C96" s="72">
        <v>344.22610145149758</v>
      </c>
      <c r="D96" s="14">
        <v>337.9</v>
      </c>
      <c r="E96" s="73">
        <f t="shared" si="17"/>
        <v>321</v>
      </c>
      <c r="F96" s="14">
        <f t="shared" si="18"/>
        <v>16.899999999999977</v>
      </c>
      <c r="G96" s="85">
        <f t="shared" si="24"/>
        <v>-7.3058042159976924E-2</v>
      </c>
      <c r="H96" s="140">
        <v>317.7</v>
      </c>
      <c r="I96" s="140">
        <v>317.7</v>
      </c>
      <c r="J96" s="4">
        <f t="shared" si="26"/>
        <v>-1.0280373831775736E-2</v>
      </c>
      <c r="K96" s="4">
        <f t="shared" si="28"/>
        <v>-1.0280373831775736E-2</v>
      </c>
      <c r="L96" s="140">
        <v>321</v>
      </c>
      <c r="M96" s="140">
        <f t="shared" si="29"/>
        <v>321</v>
      </c>
      <c r="N96" s="140">
        <v>317.7</v>
      </c>
      <c r="O96" s="140">
        <f t="shared" si="25"/>
        <v>317.7</v>
      </c>
      <c r="P96" s="230">
        <f t="shared" si="21"/>
        <v>0</v>
      </c>
      <c r="Q96" s="74">
        <f t="shared" si="22"/>
        <v>0</v>
      </c>
      <c r="R96" s="140">
        <f t="shared" si="23"/>
        <v>317.7</v>
      </c>
    </row>
    <row r="97" spans="1:42" s="21" customFormat="1" x14ac:dyDescent="0.25">
      <c r="A97" s="71" t="s">
        <v>81</v>
      </c>
      <c r="B97" s="74">
        <v>175</v>
      </c>
      <c r="C97" s="72">
        <v>173.95197156803948</v>
      </c>
      <c r="D97" s="14">
        <v>0</v>
      </c>
      <c r="E97" s="73">
        <f t="shared" si="17"/>
        <v>0</v>
      </c>
      <c r="F97" s="14">
        <f t="shared" si="18"/>
        <v>0</v>
      </c>
      <c r="G97" s="85">
        <f t="shared" si="24"/>
        <v>-1</v>
      </c>
      <c r="H97" s="140">
        <f>IF(ISBLANK(E97),"",E97)</f>
        <v>0</v>
      </c>
      <c r="I97" s="140"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f>IF(ISBLANK(K97),"",K97)</f>
        <v>0</v>
      </c>
      <c r="O97" s="140">
        <f t="shared" si="25"/>
        <v>0</v>
      </c>
      <c r="P97" s="230"/>
      <c r="Q97" s="74"/>
      <c r="R97" s="140">
        <f t="shared" si="23"/>
        <v>0</v>
      </c>
    </row>
    <row r="98" spans="1:42" s="21" customFormat="1" x14ac:dyDescent="0.25">
      <c r="A98" s="71" t="s">
        <v>82</v>
      </c>
      <c r="B98" s="74">
        <v>84.4</v>
      </c>
      <c r="C98" s="72">
        <v>83.894550859100192</v>
      </c>
      <c r="D98" s="14">
        <v>0</v>
      </c>
      <c r="E98" s="73">
        <f t="shared" si="17"/>
        <v>0</v>
      </c>
      <c r="F98" s="14">
        <f t="shared" si="18"/>
        <v>0</v>
      </c>
      <c r="G98" s="85">
        <f t="shared" si="24"/>
        <v>-1</v>
      </c>
      <c r="H98" s="140">
        <f>IF(ISBLANK(E98),"",E98)</f>
        <v>0</v>
      </c>
      <c r="I98" s="140">
        <v>0</v>
      </c>
      <c r="J98" s="140">
        <v>0</v>
      </c>
      <c r="K98" s="140">
        <v>0</v>
      </c>
      <c r="L98" s="140">
        <v>0</v>
      </c>
      <c r="M98" s="140">
        <v>0</v>
      </c>
      <c r="N98" s="140">
        <f>IF(ISBLANK(K98),"",K98)</f>
        <v>0</v>
      </c>
      <c r="O98" s="140">
        <f t="shared" si="25"/>
        <v>0</v>
      </c>
      <c r="P98" s="230"/>
      <c r="Q98" s="74"/>
      <c r="R98" s="140">
        <f t="shared" si="23"/>
        <v>0</v>
      </c>
    </row>
    <row r="99" spans="1:42" s="21" customFormat="1" x14ac:dyDescent="0.25">
      <c r="A99" s="71" t="s">
        <v>83</v>
      </c>
      <c r="B99" s="74">
        <v>131.80000000000001</v>
      </c>
      <c r="C99" s="72">
        <v>131.01068487238632</v>
      </c>
      <c r="D99" s="14">
        <v>128.6</v>
      </c>
      <c r="E99" s="73">
        <f t="shared" si="17"/>
        <v>122.2</v>
      </c>
      <c r="F99" s="14">
        <f t="shared" si="18"/>
        <v>6.3999999999999915</v>
      </c>
      <c r="G99" s="85">
        <f t="shared" si="24"/>
        <v>-7.2837632776934808E-2</v>
      </c>
      <c r="H99" s="140">
        <v>120.9</v>
      </c>
      <c r="I99" s="140">
        <v>120.9</v>
      </c>
      <c r="J99" s="4">
        <f>(H99-E99)/E99</f>
        <v>-1.0638297872340403E-2</v>
      </c>
      <c r="K99" s="4">
        <f>(I99-E99)/E99</f>
        <v>-1.0638297872340403E-2</v>
      </c>
      <c r="L99" s="140">
        <v>122.2</v>
      </c>
      <c r="M99" s="140">
        <f>L99</f>
        <v>122.2</v>
      </c>
      <c r="N99" s="140">
        <v>120.9</v>
      </c>
      <c r="O99" s="140">
        <f t="shared" si="25"/>
        <v>120.9</v>
      </c>
      <c r="P99" s="230">
        <f t="shared" si="21"/>
        <v>0</v>
      </c>
      <c r="Q99" s="74">
        <f t="shared" si="22"/>
        <v>0</v>
      </c>
      <c r="R99" s="140">
        <f t="shared" si="23"/>
        <v>120.9</v>
      </c>
    </row>
    <row r="100" spans="1:42" s="21" customFormat="1" ht="16.5" thickBot="1" x14ac:dyDescent="0.3">
      <c r="A100" s="71" t="s">
        <v>84</v>
      </c>
      <c r="B100" s="74">
        <v>75</v>
      </c>
      <c r="C100" s="72">
        <v>74.550844957731201</v>
      </c>
      <c r="D100" s="14">
        <v>73.2</v>
      </c>
      <c r="E100" s="73">
        <f t="shared" si="17"/>
        <v>69.5</v>
      </c>
      <c r="F100" s="14">
        <f t="shared" si="18"/>
        <v>3.7000000000000028</v>
      </c>
      <c r="G100" s="85">
        <f t="shared" si="24"/>
        <v>-7.3333333333333334E-2</v>
      </c>
      <c r="H100" s="140">
        <v>68.8</v>
      </c>
      <c r="I100" s="140">
        <v>68.8</v>
      </c>
      <c r="J100" s="4">
        <f>(H100-E100)/E100</f>
        <v>-1.0071942446043206E-2</v>
      </c>
      <c r="K100" s="4">
        <f>(I100-E100)/E100</f>
        <v>-1.0071942446043206E-2</v>
      </c>
      <c r="L100" s="140">
        <v>69.5</v>
      </c>
      <c r="M100" s="140">
        <f>L100</f>
        <v>69.5</v>
      </c>
      <c r="N100" s="140">
        <v>68.8</v>
      </c>
      <c r="O100" s="140">
        <f t="shared" si="25"/>
        <v>68.8</v>
      </c>
      <c r="P100" s="231">
        <f t="shared" si="21"/>
        <v>0</v>
      </c>
      <c r="Q100" s="114">
        <f t="shared" si="22"/>
        <v>0</v>
      </c>
      <c r="R100" s="140">
        <f t="shared" si="23"/>
        <v>68.8</v>
      </c>
    </row>
    <row r="101" spans="1:42" s="21" customFormat="1" ht="16.5" thickBot="1" x14ac:dyDescent="0.3">
      <c r="A101" s="81" t="s">
        <v>85</v>
      </c>
      <c r="B101" s="15">
        <f>SUM(B68:B100)</f>
        <v>222073.29999999993</v>
      </c>
      <c r="C101" s="75">
        <f>SUM(C68:C100)</f>
        <v>220743.3621006897</v>
      </c>
      <c r="D101" s="15">
        <f>SUM(D68:D100)</f>
        <v>216519.70000000004</v>
      </c>
      <c r="E101" s="75">
        <f>SUM(E68:E100)</f>
        <v>205601.99999999997</v>
      </c>
      <c r="F101" s="15">
        <f t="shared" si="18"/>
        <v>10917.70000000007</v>
      </c>
      <c r="G101" s="6">
        <f t="shared" si="24"/>
        <v>-7.4170555397699608E-2</v>
      </c>
      <c r="H101" s="141">
        <f>SUM(H68:H100)</f>
        <v>203651.1</v>
      </c>
      <c r="I101" s="141">
        <f>SUM(I68:I100)</f>
        <v>203651.09999999998</v>
      </c>
      <c r="J101" s="20">
        <f>(H101-E101)/E101</f>
        <v>-9.4887209268390647E-3</v>
      </c>
      <c r="K101" s="20">
        <f>(I101-E101)/E101</f>
        <v>-9.4887209268392069E-3</v>
      </c>
      <c r="L101" s="141">
        <f>SUM(L68:L100)</f>
        <v>205476.6</v>
      </c>
      <c r="M101" s="141">
        <f>SUM(M68:M100)</f>
        <v>205476.6</v>
      </c>
      <c r="N101" s="141">
        <f>SUM(N68:N100)</f>
        <v>203651.1</v>
      </c>
      <c r="O101" s="141">
        <f>SUM(O68:O100)</f>
        <v>203651.1</v>
      </c>
      <c r="P101" s="232">
        <f t="shared" si="21"/>
        <v>0</v>
      </c>
      <c r="Q101" s="124">
        <f t="shared" si="22"/>
        <v>0</v>
      </c>
      <c r="R101" s="141">
        <f>SUM(R68:R100)</f>
        <v>203651.1</v>
      </c>
    </row>
    <row r="102" spans="1:42" s="21" customFormat="1" x14ac:dyDescent="0.25">
      <c r="A102" s="71"/>
      <c r="B102" s="74"/>
      <c r="C102" s="93"/>
      <c r="D102" s="14"/>
      <c r="E102" s="16"/>
      <c r="F102" s="16"/>
      <c r="G102" s="7"/>
      <c r="H102" s="149"/>
      <c r="I102" s="149"/>
      <c r="J102" s="3"/>
      <c r="K102" s="3"/>
      <c r="L102" s="149"/>
      <c r="M102" s="149"/>
      <c r="N102" s="149"/>
      <c r="O102" s="149"/>
      <c r="P102" s="229"/>
      <c r="Q102" s="79"/>
      <c r="R102" s="79"/>
    </row>
    <row r="103" spans="1:42" s="21" customFormat="1" x14ac:dyDescent="0.25">
      <c r="A103" s="69" t="s">
        <v>86</v>
      </c>
      <c r="B103" s="74"/>
      <c r="C103" s="93"/>
      <c r="D103" s="14"/>
      <c r="E103" s="16"/>
      <c r="F103" s="16"/>
      <c r="G103" s="7"/>
      <c r="H103" s="149"/>
      <c r="I103" s="149"/>
      <c r="J103" s="3"/>
      <c r="K103" s="3"/>
      <c r="L103" s="149"/>
      <c r="M103" s="149"/>
      <c r="N103" s="149"/>
      <c r="O103" s="149"/>
      <c r="P103" s="230"/>
      <c r="Q103" s="74"/>
      <c r="R103" s="74"/>
    </row>
    <row r="104" spans="1:42" s="21" customFormat="1" x14ac:dyDescent="0.25">
      <c r="A104" s="69" t="s">
        <v>232</v>
      </c>
      <c r="B104" s="106">
        <v>62331.6</v>
      </c>
      <c r="C104" s="100">
        <v>61958.312634230911</v>
      </c>
      <c r="D104" s="29">
        <v>60816.4</v>
      </c>
      <c r="E104" s="30">
        <f t="shared" ref="E104:E119" si="30">ROUND(D104*0.95,1)</f>
        <v>57775.6</v>
      </c>
      <c r="F104" s="30">
        <f t="shared" si="18"/>
        <v>3040.8000000000029</v>
      </c>
      <c r="G104" s="19">
        <f t="shared" ref="G104:G121" si="31">IFERROR(((+E104-B104)/B104),0)</f>
        <v>-7.3092941621906063E-2</v>
      </c>
      <c r="H104" s="155">
        <v>57201.1</v>
      </c>
      <c r="I104" s="155">
        <f>H104+SUM(H105:H108)</f>
        <v>60071.5</v>
      </c>
      <c r="J104" s="19">
        <f t="shared" ref="J104:J121" si="32">(H104-E104)/E104</f>
        <v>-9.9436440296595801E-3</v>
      </c>
      <c r="K104" s="19">
        <f>(I104-E104)/E104</f>
        <v>3.9738228594770136E-2</v>
      </c>
      <c r="L104" s="155">
        <v>55753.5</v>
      </c>
      <c r="M104" s="155">
        <f>L104+L105+L106+L107+L108+L116+L117+L118+L119</f>
        <v>61888.899999999994</v>
      </c>
      <c r="N104" s="155">
        <v>57201.1</v>
      </c>
      <c r="O104" s="155">
        <f>(1-$T$3)*N104</f>
        <v>57201.1</v>
      </c>
      <c r="P104" s="230">
        <f t="shared" si="21"/>
        <v>0</v>
      </c>
      <c r="Q104" s="74">
        <f t="shared" si="22"/>
        <v>0</v>
      </c>
      <c r="R104" s="140">
        <f>O104</f>
        <v>57201.1</v>
      </c>
    </row>
    <row r="105" spans="1:42" s="21" customFormat="1" x14ac:dyDescent="0.25">
      <c r="A105" s="87" t="s">
        <v>97</v>
      </c>
      <c r="B105" s="91">
        <v>1103.3</v>
      </c>
      <c r="C105" s="101">
        <v>1096.6926298915312</v>
      </c>
      <c r="D105" s="26">
        <v>1076.4000000000001</v>
      </c>
      <c r="E105" s="27">
        <f t="shared" si="30"/>
        <v>1022.6</v>
      </c>
      <c r="F105" s="27">
        <f>D105-E105</f>
        <v>53.800000000000068</v>
      </c>
      <c r="G105" s="28">
        <f t="shared" si="31"/>
        <v>-7.3144203752379164E-2</v>
      </c>
      <c r="H105" s="156">
        <v>1012.3</v>
      </c>
      <c r="I105" s="156">
        <v>0</v>
      </c>
      <c r="J105" s="28">
        <f t="shared" si="32"/>
        <v>-1.0072364560923204E-2</v>
      </c>
      <c r="K105" s="156">
        <v>0</v>
      </c>
      <c r="L105" s="156">
        <v>956.1</v>
      </c>
      <c r="M105" s="156">
        <v>0</v>
      </c>
      <c r="N105" s="156">
        <v>1012.3</v>
      </c>
      <c r="O105" s="156">
        <f t="shared" ref="O105:O119" si="33">(1-$S$3)*N105</f>
        <v>1012.3</v>
      </c>
      <c r="P105" s="230">
        <f t="shared" si="21"/>
        <v>0</v>
      </c>
      <c r="Q105" s="74">
        <f t="shared" si="22"/>
        <v>0</v>
      </c>
      <c r="R105" s="140">
        <f t="shared" ref="R105:R119" si="34">O105</f>
        <v>1012.3</v>
      </c>
    </row>
    <row r="106" spans="1:42" s="252" customFormat="1" x14ac:dyDescent="0.25">
      <c r="A106" s="245" t="s">
        <v>98</v>
      </c>
      <c r="B106" s="246">
        <v>1650.7</v>
      </c>
      <c r="C106" s="253">
        <v>1640.8143969563587</v>
      </c>
      <c r="D106" s="248">
        <v>1610.5</v>
      </c>
      <c r="E106" s="254">
        <f t="shared" si="30"/>
        <v>1530</v>
      </c>
      <c r="F106" s="254">
        <f>D106-E106</f>
        <v>80.5</v>
      </c>
      <c r="G106" s="194">
        <f t="shared" si="31"/>
        <v>-7.3120494335736377E-2</v>
      </c>
      <c r="H106" s="159">
        <v>1514.7</v>
      </c>
      <c r="I106" s="159">
        <v>0</v>
      </c>
      <c r="J106" s="194">
        <f t="shared" si="32"/>
        <v>-9.9999999999999707E-3</v>
      </c>
      <c r="K106" s="159">
        <v>0</v>
      </c>
      <c r="L106" s="159">
        <v>1430.6</v>
      </c>
      <c r="M106" s="159">
        <v>0</v>
      </c>
      <c r="N106" s="159">
        <v>1514.7</v>
      </c>
      <c r="O106" s="159">
        <f t="shared" si="33"/>
        <v>1514.7</v>
      </c>
      <c r="P106" s="251">
        <f t="shared" si="21"/>
        <v>0</v>
      </c>
      <c r="Q106" s="246">
        <f t="shared" si="22"/>
        <v>0</v>
      </c>
      <c r="R106" s="140">
        <f t="shared" si="34"/>
        <v>1514.7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:42" s="21" customFormat="1" x14ac:dyDescent="0.25">
      <c r="A107" s="87" t="s">
        <v>88</v>
      </c>
      <c r="B107" s="91">
        <v>274.7</v>
      </c>
      <c r="C107" s="101">
        <v>273.05489479851684</v>
      </c>
      <c r="D107" s="26">
        <v>268</v>
      </c>
      <c r="E107" s="27">
        <f t="shared" si="30"/>
        <v>254.6</v>
      </c>
      <c r="F107" s="27">
        <f t="shared" si="18"/>
        <v>13.400000000000006</v>
      </c>
      <c r="G107" s="28">
        <f t="shared" si="31"/>
        <v>-7.3170731707317055E-2</v>
      </c>
      <c r="H107" s="156">
        <v>252</v>
      </c>
      <c r="I107" s="157">
        <v>0</v>
      </c>
      <c r="J107" s="28">
        <f t="shared" si="32"/>
        <v>-1.0212097407698328E-2</v>
      </c>
      <c r="K107" s="157">
        <v>0</v>
      </c>
      <c r="L107" s="157">
        <v>238.1</v>
      </c>
      <c r="M107" s="157">
        <v>0</v>
      </c>
      <c r="N107" s="156">
        <v>252</v>
      </c>
      <c r="O107" s="156">
        <f t="shared" si="33"/>
        <v>252</v>
      </c>
      <c r="P107" s="230">
        <f t="shared" si="21"/>
        <v>0</v>
      </c>
      <c r="Q107" s="74">
        <f t="shared" si="22"/>
        <v>0</v>
      </c>
      <c r="R107" s="140">
        <f t="shared" si="34"/>
        <v>252</v>
      </c>
    </row>
    <row r="108" spans="1:42" s="21" customFormat="1" x14ac:dyDescent="0.25">
      <c r="A108" s="87" t="s">
        <v>89</v>
      </c>
      <c r="B108" s="91">
        <v>99.7</v>
      </c>
      <c r="C108" s="101">
        <v>99.102923230477359</v>
      </c>
      <c r="D108" s="26">
        <v>97.3</v>
      </c>
      <c r="E108" s="27">
        <f t="shared" si="30"/>
        <v>92.4</v>
      </c>
      <c r="F108" s="27">
        <f t="shared" si="18"/>
        <v>4.8999999999999915</v>
      </c>
      <c r="G108" s="28">
        <f t="shared" si="31"/>
        <v>-7.3219658976930765E-2</v>
      </c>
      <c r="H108" s="156">
        <v>91.4</v>
      </c>
      <c r="I108" s="156">
        <v>0</v>
      </c>
      <c r="J108" s="28">
        <f t="shared" si="32"/>
        <v>-1.0822510822510822E-2</v>
      </c>
      <c r="K108" s="156">
        <v>0</v>
      </c>
      <c r="L108" s="156">
        <v>86.4</v>
      </c>
      <c r="M108" s="156">
        <v>0</v>
      </c>
      <c r="N108" s="156">
        <v>91.4</v>
      </c>
      <c r="O108" s="156">
        <f t="shared" si="33"/>
        <v>91.4</v>
      </c>
      <c r="P108" s="230">
        <f t="shared" si="21"/>
        <v>0</v>
      </c>
      <c r="Q108" s="74">
        <f t="shared" si="22"/>
        <v>0</v>
      </c>
      <c r="R108" s="140">
        <f t="shared" si="34"/>
        <v>91.4</v>
      </c>
    </row>
    <row r="109" spans="1:42" s="21" customFormat="1" x14ac:dyDescent="0.25">
      <c r="A109" s="71" t="s">
        <v>87</v>
      </c>
      <c r="B109" s="74">
        <v>5025.3</v>
      </c>
      <c r="C109" s="93">
        <v>4995.2048155478224</v>
      </c>
      <c r="D109" s="14">
        <v>5005</v>
      </c>
      <c r="E109" s="16">
        <f t="shared" si="30"/>
        <v>4754.8</v>
      </c>
      <c r="F109" s="16">
        <f>D109-E109</f>
        <v>250.19999999999982</v>
      </c>
      <c r="G109" s="3">
        <f t="shared" si="31"/>
        <v>-5.3827632181163314E-2</v>
      </c>
      <c r="H109" s="149">
        <v>4707.2</v>
      </c>
      <c r="I109" s="149">
        <v>4707.2</v>
      </c>
      <c r="J109" s="3">
        <f t="shared" si="32"/>
        <v>-1.0010936316985018E-2</v>
      </c>
      <c r="K109" s="3">
        <f t="shared" ref="K109:K121" si="35">(I109-E109)/E109</f>
        <v>-1.0010936316985018E-2</v>
      </c>
      <c r="L109" s="149">
        <v>4754.8</v>
      </c>
      <c r="M109" s="149">
        <v>4754.8</v>
      </c>
      <c r="N109" s="149">
        <v>4707.2</v>
      </c>
      <c r="O109" s="149">
        <f t="shared" si="33"/>
        <v>4707.2</v>
      </c>
      <c r="P109" s="230">
        <f t="shared" si="21"/>
        <v>0</v>
      </c>
      <c r="Q109" s="74">
        <f t="shared" si="22"/>
        <v>0</v>
      </c>
      <c r="R109" s="140">
        <f t="shared" si="34"/>
        <v>4707.2</v>
      </c>
    </row>
    <row r="110" spans="1:42" s="21" customFormat="1" x14ac:dyDescent="0.25">
      <c r="A110" s="71" t="s">
        <v>90</v>
      </c>
      <c r="B110" s="74">
        <v>7292.9</v>
      </c>
      <c r="C110" s="93">
        <v>7249.2247625631717</v>
      </c>
      <c r="D110" s="14">
        <v>7115.6</v>
      </c>
      <c r="E110" s="16">
        <f t="shared" si="30"/>
        <v>6759.8</v>
      </c>
      <c r="F110" s="16">
        <f t="shared" si="18"/>
        <v>355.80000000000018</v>
      </c>
      <c r="G110" s="3">
        <f t="shared" si="31"/>
        <v>-7.3098493054888927E-2</v>
      </c>
      <c r="H110" s="149">
        <v>6692.2</v>
      </c>
      <c r="I110" s="149">
        <v>6692.2</v>
      </c>
      <c r="J110" s="3">
        <f t="shared" si="32"/>
        <v>-1.0000295866741673E-2</v>
      </c>
      <c r="K110" s="3">
        <f t="shared" si="35"/>
        <v>-1.0000295866741673E-2</v>
      </c>
      <c r="L110" s="149">
        <v>6759.8</v>
      </c>
      <c r="M110" s="149">
        <v>6759.8</v>
      </c>
      <c r="N110" s="149">
        <v>6692.2</v>
      </c>
      <c r="O110" s="149">
        <f t="shared" si="33"/>
        <v>6692.2</v>
      </c>
      <c r="P110" s="230">
        <f t="shared" si="21"/>
        <v>0</v>
      </c>
      <c r="Q110" s="74">
        <f t="shared" si="22"/>
        <v>0</v>
      </c>
      <c r="R110" s="140">
        <f t="shared" si="34"/>
        <v>6692.2</v>
      </c>
    </row>
    <row r="111" spans="1:42" s="21" customFormat="1" x14ac:dyDescent="0.25">
      <c r="A111" s="71" t="s">
        <v>91</v>
      </c>
      <c r="B111" s="74">
        <v>5327.6</v>
      </c>
      <c r="C111" s="93">
        <v>5295.6944212907838</v>
      </c>
      <c r="D111" s="14">
        <v>5198.1000000000004</v>
      </c>
      <c r="E111" s="16">
        <f t="shared" si="30"/>
        <v>4938.2</v>
      </c>
      <c r="F111" s="16">
        <f t="shared" si="18"/>
        <v>259.90000000000055</v>
      </c>
      <c r="G111" s="3">
        <f t="shared" si="31"/>
        <v>-7.3091072903371218E-2</v>
      </c>
      <c r="H111" s="149">
        <v>4888.8</v>
      </c>
      <c r="I111" s="149">
        <v>4888.8</v>
      </c>
      <c r="J111" s="3">
        <f t="shared" si="32"/>
        <v>-1.0003645052853193E-2</v>
      </c>
      <c r="K111" s="3">
        <f t="shared" si="35"/>
        <v>-1.0003645052853193E-2</v>
      </c>
      <c r="L111" s="149">
        <v>4938.2</v>
      </c>
      <c r="M111" s="149">
        <v>4938.2</v>
      </c>
      <c r="N111" s="149">
        <v>4888.8</v>
      </c>
      <c r="O111" s="149">
        <f t="shared" si="33"/>
        <v>4888.8</v>
      </c>
      <c r="P111" s="230">
        <f t="shared" si="21"/>
        <v>0</v>
      </c>
      <c r="Q111" s="74">
        <f t="shared" si="22"/>
        <v>0</v>
      </c>
      <c r="R111" s="140">
        <f t="shared" si="34"/>
        <v>4888.8</v>
      </c>
    </row>
    <row r="112" spans="1:42" s="21" customFormat="1" x14ac:dyDescent="0.25">
      <c r="A112" s="71" t="s">
        <v>92</v>
      </c>
      <c r="B112" s="74">
        <v>3350.2</v>
      </c>
      <c r="C112" s="93">
        <v>3330.1365436985479</v>
      </c>
      <c r="D112" s="14">
        <v>3268.8</v>
      </c>
      <c r="E112" s="16">
        <f t="shared" si="30"/>
        <v>3105.4</v>
      </c>
      <c r="F112" s="16">
        <f t="shared" si="18"/>
        <v>163.40000000000009</v>
      </c>
      <c r="G112" s="3">
        <f t="shared" si="31"/>
        <v>-7.3070264461823103E-2</v>
      </c>
      <c r="H112" s="149">
        <v>3074.3</v>
      </c>
      <c r="I112" s="149">
        <v>3074.3</v>
      </c>
      <c r="J112" s="3">
        <f t="shared" si="32"/>
        <v>-1.001481290654985E-2</v>
      </c>
      <c r="K112" s="3">
        <f t="shared" si="35"/>
        <v>-1.001481290654985E-2</v>
      </c>
      <c r="L112" s="149">
        <v>3105.4</v>
      </c>
      <c r="M112" s="149">
        <v>3105.4</v>
      </c>
      <c r="N112" s="149">
        <v>3074.3</v>
      </c>
      <c r="O112" s="149">
        <f t="shared" si="33"/>
        <v>3074.3</v>
      </c>
      <c r="P112" s="230">
        <f t="shared" si="21"/>
        <v>0</v>
      </c>
      <c r="Q112" s="74">
        <f t="shared" si="22"/>
        <v>0</v>
      </c>
      <c r="R112" s="140">
        <f t="shared" si="34"/>
        <v>3074.3</v>
      </c>
    </row>
    <row r="113" spans="1:21" s="21" customFormat="1" x14ac:dyDescent="0.25">
      <c r="A113" s="71" t="s">
        <v>93</v>
      </c>
      <c r="B113" s="74">
        <v>1303.5</v>
      </c>
      <c r="C113" s="93">
        <v>1295.6936853653683</v>
      </c>
      <c r="D113" s="14">
        <v>1271.8</v>
      </c>
      <c r="E113" s="16">
        <f t="shared" si="30"/>
        <v>1208.2</v>
      </c>
      <c r="F113" s="16">
        <f t="shared" si="18"/>
        <v>63.599999999999909</v>
      </c>
      <c r="G113" s="3">
        <f t="shared" si="31"/>
        <v>-7.3110855389336371E-2</v>
      </c>
      <c r="H113" s="149">
        <v>1196.0999999999999</v>
      </c>
      <c r="I113" s="149">
        <v>1196.0999999999999</v>
      </c>
      <c r="J113" s="3">
        <f t="shared" si="32"/>
        <v>-1.0014898195663082E-2</v>
      </c>
      <c r="K113" s="3">
        <f t="shared" si="35"/>
        <v>-1.0014898195663082E-2</v>
      </c>
      <c r="L113" s="149">
        <v>1208.2</v>
      </c>
      <c r="M113" s="149">
        <v>1208.2</v>
      </c>
      <c r="N113" s="149">
        <v>1196.0999999999999</v>
      </c>
      <c r="O113" s="149">
        <f t="shared" si="33"/>
        <v>1196.0999999999999</v>
      </c>
      <c r="P113" s="230">
        <f t="shared" si="21"/>
        <v>0</v>
      </c>
      <c r="Q113" s="74">
        <f t="shared" si="22"/>
        <v>0</v>
      </c>
      <c r="R113" s="140">
        <f t="shared" si="34"/>
        <v>1196.0999999999999</v>
      </c>
    </row>
    <row r="114" spans="1:21" s="21" customFormat="1" x14ac:dyDescent="0.25">
      <c r="A114" s="71" t="s">
        <v>94</v>
      </c>
      <c r="B114" s="74">
        <v>1554.7</v>
      </c>
      <c r="C114" s="93">
        <v>1545.3893154104628</v>
      </c>
      <c r="D114" s="14">
        <v>1548.4</v>
      </c>
      <c r="E114" s="16">
        <f t="shared" si="30"/>
        <v>1471</v>
      </c>
      <c r="F114" s="16">
        <f t="shared" si="18"/>
        <v>77.400000000000091</v>
      </c>
      <c r="G114" s="3">
        <f t="shared" si="31"/>
        <v>-5.3836753071332115E-2</v>
      </c>
      <c r="H114" s="149">
        <v>1456.2</v>
      </c>
      <c r="I114" s="149">
        <v>1456.2</v>
      </c>
      <c r="J114" s="3">
        <f t="shared" si="32"/>
        <v>-1.0061182868796707E-2</v>
      </c>
      <c r="K114" s="3">
        <f t="shared" si="35"/>
        <v>-1.0061182868796707E-2</v>
      </c>
      <c r="L114" s="149">
        <v>1471</v>
      </c>
      <c r="M114" s="149">
        <v>1471</v>
      </c>
      <c r="N114" s="149">
        <v>1456.2</v>
      </c>
      <c r="O114" s="149">
        <f t="shared" si="33"/>
        <v>1456.2</v>
      </c>
      <c r="P114" s="230">
        <f t="shared" si="21"/>
        <v>0</v>
      </c>
      <c r="Q114" s="74">
        <f t="shared" si="22"/>
        <v>0</v>
      </c>
      <c r="R114" s="140">
        <f t="shared" si="34"/>
        <v>1456.2</v>
      </c>
    </row>
    <row r="115" spans="1:21" s="21" customFormat="1" x14ac:dyDescent="0.25">
      <c r="A115" s="71" t="s">
        <v>95</v>
      </c>
      <c r="B115" s="74">
        <v>2691.2</v>
      </c>
      <c r="C115" s="93">
        <v>2675.0831193366162</v>
      </c>
      <c r="D115" s="14">
        <v>2625.8</v>
      </c>
      <c r="E115" s="16">
        <f t="shared" si="30"/>
        <v>2494.5</v>
      </c>
      <c r="F115" s="16">
        <f t="shared" si="18"/>
        <v>131.30000000000018</v>
      </c>
      <c r="G115" s="3">
        <f t="shared" si="31"/>
        <v>-7.3090071343638457E-2</v>
      </c>
      <c r="H115" s="149">
        <v>2469.5</v>
      </c>
      <c r="I115" s="149">
        <v>2469.5</v>
      </c>
      <c r="J115" s="3">
        <f t="shared" si="32"/>
        <v>-1.0022048506714773E-2</v>
      </c>
      <c r="K115" s="3">
        <f t="shared" si="35"/>
        <v>-1.0022048506714773E-2</v>
      </c>
      <c r="L115" s="149">
        <v>2494.5</v>
      </c>
      <c r="M115" s="149">
        <v>2494.5</v>
      </c>
      <c r="N115" s="149">
        <v>2469.5</v>
      </c>
      <c r="O115" s="149">
        <f t="shared" si="33"/>
        <v>2469.5</v>
      </c>
      <c r="P115" s="230">
        <f t="shared" si="21"/>
        <v>0</v>
      </c>
      <c r="Q115" s="74">
        <f t="shared" si="22"/>
        <v>0</v>
      </c>
      <c r="R115" s="140">
        <f t="shared" si="34"/>
        <v>2469.5</v>
      </c>
    </row>
    <row r="116" spans="1:21" s="21" customFormat="1" x14ac:dyDescent="0.25">
      <c r="A116" s="71" t="s">
        <v>96</v>
      </c>
      <c r="B116" s="74">
        <v>2143.8000000000002</v>
      </c>
      <c r="C116" s="93">
        <v>2130.9613522717891</v>
      </c>
      <c r="D116" s="14">
        <v>2091.6999999999998</v>
      </c>
      <c r="E116" s="16">
        <f t="shared" si="30"/>
        <v>1987.1</v>
      </c>
      <c r="F116" s="16">
        <f t="shared" si="18"/>
        <v>104.59999999999991</v>
      </c>
      <c r="G116" s="3">
        <f t="shared" si="31"/>
        <v>-7.3094505084429634E-2</v>
      </c>
      <c r="H116" s="149">
        <v>1967.2</v>
      </c>
      <c r="I116" s="149">
        <v>1967.2</v>
      </c>
      <c r="J116" s="3">
        <f t="shared" si="32"/>
        <v>-1.0014594132152315E-2</v>
      </c>
      <c r="K116" s="3">
        <f t="shared" si="35"/>
        <v>-1.0014594132152315E-2</v>
      </c>
      <c r="L116" s="156">
        <v>1857.9</v>
      </c>
      <c r="M116" s="156">
        <v>0</v>
      </c>
      <c r="N116" s="149">
        <v>1967.2</v>
      </c>
      <c r="O116" s="149">
        <v>2017.2</v>
      </c>
      <c r="P116" s="230">
        <f t="shared" si="21"/>
        <v>-2.5416836112240659E-2</v>
      </c>
      <c r="Q116" s="74">
        <f t="shared" si="22"/>
        <v>50</v>
      </c>
      <c r="R116" s="140">
        <f t="shared" si="34"/>
        <v>2017.2</v>
      </c>
      <c r="T116" s="164">
        <f>N116+50</f>
        <v>2017.2</v>
      </c>
      <c r="U116" s="21">
        <f>1967.2*1.01</f>
        <v>1986.8720000000001</v>
      </c>
    </row>
    <row r="117" spans="1:21" s="21" customFormat="1" x14ac:dyDescent="0.25">
      <c r="A117" s="71" t="s">
        <v>227</v>
      </c>
      <c r="B117" s="74">
        <v>1068.5</v>
      </c>
      <c r="C117" s="93">
        <v>1062.1010378311439</v>
      </c>
      <c r="D117" s="14">
        <v>1042.5</v>
      </c>
      <c r="E117" s="16">
        <f t="shared" si="30"/>
        <v>990.4</v>
      </c>
      <c r="F117" s="16">
        <f>D117-E117</f>
        <v>52.100000000000023</v>
      </c>
      <c r="G117" s="3">
        <f t="shared" si="31"/>
        <v>-7.3093121197941063E-2</v>
      </c>
      <c r="H117" s="149">
        <v>980.4</v>
      </c>
      <c r="I117" s="149">
        <v>980.4</v>
      </c>
      <c r="J117" s="3">
        <f t="shared" si="32"/>
        <v>-1.0096930533117932E-2</v>
      </c>
      <c r="K117" s="3">
        <f t="shared" si="35"/>
        <v>-1.0096930533117932E-2</v>
      </c>
      <c r="L117" s="156">
        <v>926</v>
      </c>
      <c r="M117" s="156">
        <v>0</v>
      </c>
      <c r="N117" s="149">
        <v>980.4</v>
      </c>
      <c r="O117" s="149">
        <f t="shared" si="33"/>
        <v>980.4</v>
      </c>
      <c r="P117" s="230">
        <f t="shared" si="21"/>
        <v>0</v>
      </c>
      <c r="Q117" s="74">
        <f t="shared" si="22"/>
        <v>0</v>
      </c>
      <c r="R117" s="140">
        <f t="shared" si="34"/>
        <v>980.4</v>
      </c>
    </row>
    <row r="118" spans="1:21" s="21" customFormat="1" x14ac:dyDescent="0.25">
      <c r="A118" s="71" t="s">
        <v>99</v>
      </c>
      <c r="B118" s="74">
        <v>403.4</v>
      </c>
      <c r="C118" s="93">
        <v>400.98414474598354</v>
      </c>
      <c r="D118" s="14">
        <v>393.6</v>
      </c>
      <c r="E118" s="16">
        <f t="shared" si="30"/>
        <v>373.9</v>
      </c>
      <c r="F118" s="16">
        <f t="shared" si="18"/>
        <v>19.700000000000045</v>
      </c>
      <c r="G118" s="3">
        <f t="shared" si="31"/>
        <v>-7.312840852751612E-2</v>
      </c>
      <c r="H118" s="149">
        <v>370.1</v>
      </c>
      <c r="I118" s="149">
        <v>370.1</v>
      </c>
      <c r="J118" s="3">
        <f t="shared" si="32"/>
        <v>-1.0163145225996135E-2</v>
      </c>
      <c r="K118" s="3">
        <f t="shared" si="35"/>
        <v>-1.0163145225996135E-2</v>
      </c>
      <c r="L118" s="156">
        <v>349.6</v>
      </c>
      <c r="M118" s="156">
        <v>0</v>
      </c>
      <c r="N118" s="149">
        <v>370.1</v>
      </c>
      <c r="O118" s="149">
        <f t="shared" si="33"/>
        <v>370.1</v>
      </c>
      <c r="P118" s="230">
        <f t="shared" si="21"/>
        <v>0</v>
      </c>
      <c r="Q118" s="74">
        <f t="shared" si="22"/>
        <v>0</v>
      </c>
      <c r="R118" s="140">
        <f t="shared" si="34"/>
        <v>370.1</v>
      </c>
    </row>
    <row r="119" spans="1:21" s="21" customFormat="1" ht="16.5" thickBot="1" x14ac:dyDescent="0.3">
      <c r="A119" s="71" t="s">
        <v>100</v>
      </c>
      <c r="B119" s="74">
        <v>335.5</v>
      </c>
      <c r="C119" s="93">
        <v>333.49077977758429</v>
      </c>
      <c r="D119" s="14">
        <v>327.3</v>
      </c>
      <c r="E119" s="16">
        <f t="shared" si="30"/>
        <v>310.89999999999998</v>
      </c>
      <c r="F119" s="16">
        <f t="shared" si="18"/>
        <v>16.400000000000034</v>
      </c>
      <c r="G119" s="3">
        <f t="shared" si="31"/>
        <v>-7.3323397913561919E-2</v>
      </c>
      <c r="H119" s="149">
        <v>307.7</v>
      </c>
      <c r="I119" s="149">
        <v>307.7</v>
      </c>
      <c r="J119" s="3">
        <f t="shared" si="32"/>
        <v>-1.0292698616918587E-2</v>
      </c>
      <c r="K119" s="3">
        <f t="shared" si="35"/>
        <v>-1.0292698616918587E-2</v>
      </c>
      <c r="L119" s="156">
        <v>290.7</v>
      </c>
      <c r="M119" s="156">
        <v>0</v>
      </c>
      <c r="N119" s="149">
        <v>307.7</v>
      </c>
      <c r="O119" s="149">
        <f t="shared" si="33"/>
        <v>307.7</v>
      </c>
      <c r="P119" s="231">
        <f t="shared" si="21"/>
        <v>0</v>
      </c>
      <c r="Q119" s="114">
        <f t="shared" si="22"/>
        <v>0</v>
      </c>
      <c r="R119" s="144">
        <f t="shared" si="34"/>
        <v>307.7</v>
      </c>
    </row>
    <row r="120" spans="1:21" s="21" customFormat="1" ht="16.5" thickBot="1" x14ac:dyDescent="0.3">
      <c r="A120" s="81" t="s">
        <v>101</v>
      </c>
      <c r="B120" s="107">
        <v>95956.599999999977</v>
      </c>
      <c r="C120" s="102">
        <v>95381.941456947068</v>
      </c>
      <c r="D120" s="15">
        <v>93757.200000000012</v>
      </c>
      <c r="E120" s="15">
        <f>SUM(E104:E119)</f>
        <v>89069.39999999998</v>
      </c>
      <c r="F120" s="17">
        <f t="shared" si="18"/>
        <v>4687.800000000032</v>
      </c>
      <c r="G120" s="6">
        <f t="shared" si="31"/>
        <v>-7.1774114547618395E-2</v>
      </c>
      <c r="H120" s="141">
        <f>SUM(H104:H119)</f>
        <v>88181.2</v>
      </c>
      <c r="I120" s="141">
        <f>SUM(I104:I119)</f>
        <v>88181.2</v>
      </c>
      <c r="J120" s="20">
        <f t="shared" si="32"/>
        <v>-9.9719993622948248E-3</v>
      </c>
      <c r="K120" s="20">
        <f t="shared" si="35"/>
        <v>-9.9719993622948248E-3</v>
      </c>
      <c r="L120" s="141">
        <f>SUM(L104:L119)</f>
        <v>86620.799999999988</v>
      </c>
      <c r="M120" s="142">
        <f>SUM(M104:M119)</f>
        <v>86620.799999999988</v>
      </c>
      <c r="N120" s="141">
        <f>SUM(N104:N119)</f>
        <v>88181.2</v>
      </c>
      <c r="O120" s="141">
        <f>SUM(O104:O119)</f>
        <v>88231.2</v>
      </c>
      <c r="P120" s="232">
        <f t="shared" si="21"/>
        <v>-5.6701428422378797E-4</v>
      </c>
      <c r="Q120" s="124">
        <f t="shared" si="22"/>
        <v>50</v>
      </c>
      <c r="R120" s="141">
        <f>SUM(R104:R119)</f>
        <v>88231.2</v>
      </c>
    </row>
    <row r="121" spans="1:21" s="21" customFormat="1" ht="16.5" thickBot="1" x14ac:dyDescent="0.3">
      <c r="A121" s="81" t="s">
        <v>102</v>
      </c>
      <c r="B121" s="107">
        <v>318029.89999999991</v>
      </c>
      <c r="C121" s="103">
        <v>316125.3</v>
      </c>
      <c r="D121" s="136">
        <v>310276.90000000002</v>
      </c>
      <c r="E121" s="136">
        <f>+E101+E120</f>
        <v>294671.39999999997</v>
      </c>
      <c r="F121" s="18">
        <f t="shared" si="18"/>
        <v>15605.500000000058</v>
      </c>
      <c r="G121" s="8">
        <f t="shared" si="31"/>
        <v>-7.3447496603306628E-2</v>
      </c>
      <c r="H121" s="158">
        <f>+H101+H120</f>
        <v>291832.3</v>
      </c>
      <c r="I121" s="158">
        <f>+I101+I120</f>
        <v>291832.3</v>
      </c>
      <c r="J121" s="193">
        <f t="shared" si="32"/>
        <v>-9.6347999839820793E-3</v>
      </c>
      <c r="K121" s="193">
        <f t="shared" si="35"/>
        <v>-9.6347999839820793E-3</v>
      </c>
      <c r="L121" s="141">
        <f>+L101+L120</f>
        <v>292097.40000000002</v>
      </c>
      <c r="M121" s="142">
        <f>+M101+M120</f>
        <v>292097.40000000002</v>
      </c>
      <c r="N121" s="158">
        <f>+N101+N120</f>
        <v>291832.3</v>
      </c>
      <c r="O121" s="158">
        <f>+O101+O120</f>
        <v>291882.3</v>
      </c>
      <c r="P121" s="231">
        <f t="shared" si="21"/>
        <v>-1.7133127484525446E-4</v>
      </c>
      <c r="Q121" s="114">
        <f t="shared" si="22"/>
        <v>50</v>
      </c>
      <c r="R121" s="158">
        <f>+R101+R120</f>
        <v>291882.3</v>
      </c>
    </row>
    <row r="122" spans="1:21" s="21" customFormat="1" x14ac:dyDescent="0.25">
      <c r="A122" s="71"/>
      <c r="B122" s="74"/>
      <c r="C122" s="93"/>
      <c r="D122" s="14"/>
      <c r="E122" s="16"/>
      <c r="F122" s="16"/>
      <c r="G122" s="7"/>
      <c r="H122" s="149" t="str">
        <f>IF(ISBLANK(E122),"",E122)</f>
        <v/>
      </c>
      <c r="I122" s="149"/>
      <c r="J122" s="3"/>
      <c r="K122" s="3"/>
      <c r="L122" s="149" t="s">
        <v>230</v>
      </c>
      <c r="M122" s="149" t="s">
        <v>230</v>
      </c>
      <c r="N122" s="149" t="str">
        <f>IF(ISBLANK(K122),"",K122)</f>
        <v/>
      </c>
      <c r="O122" s="149" t="str">
        <f>IF(ISBLANK(L122),"",L122)</f>
        <v/>
      </c>
      <c r="P122" s="229"/>
      <c r="Q122" s="79"/>
      <c r="R122" s="79"/>
    </row>
    <row r="123" spans="1:21" s="21" customFormat="1" x14ac:dyDescent="0.25">
      <c r="A123" s="69" t="s">
        <v>103</v>
      </c>
      <c r="B123" s="74"/>
      <c r="C123" s="93"/>
      <c r="D123" s="14"/>
      <c r="E123" s="16"/>
      <c r="F123" s="16"/>
      <c r="G123" s="7"/>
      <c r="H123" s="149"/>
      <c r="I123" s="149"/>
      <c r="J123" s="3"/>
      <c r="K123" s="3"/>
      <c r="L123" s="149" t="s">
        <v>230</v>
      </c>
      <c r="M123" s="149" t="s">
        <v>230</v>
      </c>
      <c r="N123" s="149"/>
      <c r="O123" s="149"/>
      <c r="P123" s="230"/>
      <c r="Q123" s="74"/>
      <c r="R123" s="74"/>
    </row>
    <row r="124" spans="1:21" s="21" customFormat="1" x14ac:dyDescent="0.25">
      <c r="A124" s="82" t="s">
        <v>53</v>
      </c>
      <c r="B124" s="74">
        <v>119248.6</v>
      </c>
      <c r="C124" s="93">
        <v>118534.45186702008</v>
      </c>
      <c r="D124" s="14">
        <v>116361.8</v>
      </c>
      <c r="E124" s="16">
        <f t="shared" ref="E124:E141" si="36">ROUND(D124*0.95,1)</f>
        <v>110543.7</v>
      </c>
      <c r="F124" s="16">
        <f t="shared" si="18"/>
        <v>5818.1000000000058</v>
      </c>
      <c r="G124" s="3">
        <f>IFERROR(((+E124-B124)/B124),0)</f>
        <v>-7.2997921988182737E-2</v>
      </c>
      <c r="H124" s="155">
        <f>ROUND('Formula I&amp;G'!C10/1000,1)</f>
        <v>109438.5</v>
      </c>
      <c r="I124" s="155">
        <f>ROUND((H124+SUM(H142:H149)),1)</f>
        <v>112405.4</v>
      </c>
      <c r="J124" s="19">
        <f>(H124-E124)/E124</f>
        <v>-9.9978560514981593E-3</v>
      </c>
      <c r="K124" s="19">
        <f>(I124-E124)/E124</f>
        <v>1.6841303484504293E-2</v>
      </c>
      <c r="L124" s="155">
        <v>110534.5</v>
      </c>
      <c r="M124" s="155">
        <f>ROUND((L124+SUM(L142:L149)),1)</f>
        <v>113336.8</v>
      </c>
      <c r="N124" s="155">
        <v>109438.5</v>
      </c>
      <c r="O124" s="155">
        <f>(1-$T$3)*'Formula I&amp;G'!C10/1000</f>
        <v>109438.5</v>
      </c>
      <c r="P124" s="230">
        <f t="shared" si="21"/>
        <v>0</v>
      </c>
      <c r="Q124" s="74">
        <f t="shared" si="22"/>
        <v>0</v>
      </c>
      <c r="R124" s="74">
        <f>O124</f>
        <v>109438.5</v>
      </c>
    </row>
    <row r="125" spans="1:21" s="21" customFormat="1" x14ac:dyDescent="0.25">
      <c r="A125" s="83" t="s">
        <v>34</v>
      </c>
      <c r="B125" s="74">
        <v>3397.4</v>
      </c>
      <c r="C125" s="93">
        <v>3377.0538754586137</v>
      </c>
      <c r="D125" s="14">
        <v>3314.8</v>
      </c>
      <c r="E125" s="16">
        <f t="shared" si="36"/>
        <v>3149.1</v>
      </c>
      <c r="F125" s="16">
        <f t="shared" si="18"/>
        <v>165.70000000000027</v>
      </c>
      <c r="G125" s="3">
        <f>IFERROR(((+E125-B125)/B125),0)</f>
        <v>-7.3085300523930113E-2</v>
      </c>
      <c r="H125" s="149">
        <v>3117.6</v>
      </c>
      <c r="I125" s="149">
        <v>3117.6</v>
      </c>
      <c r="J125" s="3">
        <f>(H125-E125)/E125</f>
        <v>-1.0002857959416977E-2</v>
      </c>
      <c r="K125" s="3">
        <f>(I125-E125)/E125</f>
        <v>-1.0002857959416977E-2</v>
      </c>
      <c r="L125" s="149">
        <v>3070.4</v>
      </c>
      <c r="M125" s="149">
        <f>L125</f>
        <v>3070.4</v>
      </c>
      <c r="N125" s="149">
        <v>3117.6</v>
      </c>
      <c r="O125" s="149">
        <f>(1-$S$3)*N125</f>
        <v>3117.6</v>
      </c>
      <c r="P125" s="230">
        <f t="shared" si="21"/>
        <v>0</v>
      </c>
      <c r="Q125" s="74">
        <f t="shared" si="22"/>
        <v>0</v>
      </c>
      <c r="R125" s="74">
        <f t="shared" ref="R125:R154" si="37">O125</f>
        <v>3117.6</v>
      </c>
    </row>
    <row r="126" spans="1:21" s="21" customFormat="1" x14ac:dyDescent="0.25">
      <c r="A126" s="83" t="s">
        <v>104</v>
      </c>
      <c r="B126" s="74">
        <v>1097</v>
      </c>
      <c r="C126" s="93">
        <v>1090.4303589150818</v>
      </c>
      <c r="D126" s="14">
        <v>1070.4000000000001</v>
      </c>
      <c r="E126" s="16">
        <f t="shared" si="36"/>
        <v>1016.9</v>
      </c>
      <c r="F126" s="16">
        <f t="shared" si="18"/>
        <v>53.500000000000114</v>
      </c>
      <c r="G126" s="3">
        <f>IFERROR(((+E126-B126)/B126),0)</f>
        <v>-7.3017319963536942E-2</v>
      </c>
      <c r="H126" s="149">
        <v>1006.7</v>
      </c>
      <c r="I126" s="149">
        <v>1006.7</v>
      </c>
      <c r="J126" s="3">
        <f>(H126-E126)/E126</f>
        <v>-1.0030484806765593E-2</v>
      </c>
      <c r="K126" s="3">
        <f>(I126-E126)/E126</f>
        <v>-1.0030484806765593E-2</v>
      </c>
      <c r="L126" s="149">
        <v>991.5</v>
      </c>
      <c r="M126" s="149">
        <f>L126</f>
        <v>991.5</v>
      </c>
      <c r="N126" s="149">
        <v>1006.7</v>
      </c>
      <c r="O126" s="149">
        <f>(1-$S$3)*N126</f>
        <v>1006.7</v>
      </c>
      <c r="P126" s="230">
        <f t="shared" si="21"/>
        <v>0</v>
      </c>
      <c r="Q126" s="74">
        <f t="shared" si="22"/>
        <v>0</v>
      </c>
      <c r="R126" s="74">
        <f t="shared" si="37"/>
        <v>1006.7</v>
      </c>
    </row>
    <row r="127" spans="1:21" s="21" customFormat="1" x14ac:dyDescent="0.25">
      <c r="A127" s="69" t="s">
        <v>105</v>
      </c>
      <c r="B127" s="74">
        <v>7816.7</v>
      </c>
      <c r="C127" s="93">
        <v>7769.8878637479665</v>
      </c>
      <c r="D127" s="14">
        <v>7559</v>
      </c>
      <c r="E127" s="16">
        <f t="shared" si="36"/>
        <v>7181.1</v>
      </c>
      <c r="F127" s="16">
        <f t="shared" si="18"/>
        <v>377.89999999999964</v>
      </c>
      <c r="G127" s="3">
        <f>IFERROR(((+E127-B127)/B127),0)</f>
        <v>-8.1313086084920674E-2</v>
      </c>
      <c r="H127" s="155">
        <f>ROUND('Formula I&amp;G'!C22/1000,1)</f>
        <v>7036.2</v>
      </c>
      <c r="I127" s="155">
        <f>H127</f>
        <v>7036.2</v>
      </c>
      <c r="J127" s="19">
        <f>(H127-E127)/E127</f>
        <v>-2.0177967163805065E-2</v>
      </c>
      <c r="K127" s="19">
        <f>(I127-E127)/E127</f>
        <v>-2.0177967163805065E-2</v>
      </c>
      <c r="L127" s="155">
        <v>7033.6</v>
      </c>
      <c r="M127" s="155">
        <f>L127</f>
        <v>7033.6</v>
      </c>
      <c r="N127" s="155">
        <v>7036.2</v>
      </c>
      <c r="O127" s="155">
        <f>(1-$T$3)*'Formula I&amp;G'!C22/1000</f>
        <v>7036.2</v>
      </c>
      <c r="P127" s="230">
        <f t="shared" si="21"/>
        <v>0</v>
      </c>
      <c r="Q127" s="74">
        <f t="shared" si="22"/>
        <v>0</v>
      </c>
      <c r="R127" s="74">
        <f t="shared" si="37"/>
        <v>7036.2</v>
      </c>
    </row>
    <row r="128" spans="1:21" s="21" customFormat="1" x14ac:dyDescent="0.25">
      <c r="A128" s="87" t="s">
        <v>106</v>
      </c>
      <c r="B128" s="91"/>
      <c r="C128" s="101">
        <v>0</v>
      </c>
      <c r="D128" s="26">
        <v>0</v>
      </c>
      <c r="E128" s="27">
        <f t="shared" si="36"/>
        <v>0</v>
      </c>
      <c r="F128" s="27">
        <f t="shared" si="18"/>
        <v>0</v>
      </c>
      <c r="G128" s="28">
        <f>IFERROR(((+D128-B128)/B128),0)</f>
        <v>0</v>
      </c>
      <c r="H128" s="156">
        <f>IF(ISBLANK(E128),"",E128)</f>
        <v>0</v>
      </c>
      <c r="I128" s="156">
        <v>0</v>
      </c>
      <c r="J128" s="156">
        <f>IF(ISBLANK(G128),"",G128)</f>
        <v>0</v>
      </c>
      <c r="K128" s="156">
        <v>0</v>
      </c>
      <c r="L128" s="156">
        <v>0</v>
      </c>
      <c r="M128" s="156">
        <v>0</v>
      </c>
      <c r="N128" s="156">
        <f>IF(ISBLANK(K128),"",K128)</f>
        <v>0</v>
      </c>
      <c r="O128" s="156">
        <f>(1-$S$3)*N128</f>
        <v>0</v>
      </c>
      <c r="P128" s="230"/>
      <c r="Q128" s="74"/>
      <c r="R128" s="74">
        <f t="shared" si="37"/>
        <v>0</v>
      </c>
    </row>
    <row r="129" spans="1:42" s="21" customFormat="1" x14ac:dyDescent="0.25">
      <c r="A129" s="69" t="s">
        <v>107</v>
      </c>
      <c r="B129" s="74">
        <v>4240.3999999999996</v>
      </c>
      <c r="C129" s="93">
        <v>4215.005372783512</v>
      </c>
      <c r="D129" s="14">
        <v>4138.1000000000004</v>
      </c>
      <c r="E129" s="16">
        <f>ROUND((D129-17.8)*0.95,1)</f>
        <v>3914.3</v>
      </c>
      <c r="F129" s="16">
        <f t="shared" si="18"/>
        <v>223.80000000000018</v>
      </c>
      <c r="G129" s="3">
        <f t="shared" ref="G129:G137" si="38">IFERROR(((+E129-B129)/B129),0)</f>
        <v>-7.690312234694828E-2</v>
      </c>
      <c r="H129" s="155">
        <f>ROUND('Formula I&amp;G'!C23/1000,1)</f>
        <v>3860</v>
      </c>
      <c r="I129" s="155">
        <f>H129+SUM(H130:H131)</f>
        <v>4185.5</v>
      </c>
      <c r="J129" s="19">
        <f t="shared" ref="J129:J136" si="39">(H129-E129)/E129</f>
        <v>-1.3872212145211194E-2</v>
      </c>
      <c r="K129" s="19">
        <f>(I129-E129)/E129</f>
        <v>6.9284418670004802E-2</v>
      </c>
      <c r="L129" s="155">
        <v>3883.8</v>
      </c>
      <c r="M129" s="155">
        <f>L129+SUM(L130:L131)</f>
        <v>4191.3</v>
      </c>
      <c r="N129" s="155">
        <v>3860</v>
      </c>
      <c r="O129" s="155">
        <f>(1-$T$3)*'Formula I&amp;G'!C23/1000</f>
        <v>3860</v>
      </c>
      <c r="P129" s="230">
        <f t="shared" si="21"/>
        <v>0</v>
      </c>
      <c r="Q129" s="74">
        <f t="shared" si="22"/>
        <v>0</v>
      </c>
      <c r="R129" s="74">
        <f t="shared" si="37"/>
        <v>3860</v>
      </c>
    </row>
    <row r="130" spans="1:42" s="252" customFormat="1" x14ac:dyDescent="0.25">
      <c r="A130" s="245" t="s">
        <v>108</v>
      </c>
      <c r="B130" s="246">
        <v>236.1</v>
      </c>
      <c r="C130" s="253">
        <v>234.68605992693784</v>
      </c>
      <c r="D130" s="248">
        <v>230.3</v>
      </c>
      <c r="E130" s="254">
        <f t="shared" si="36"/>
        <v>218.8</v>
      </c>
      <c r="F130" s="254">
        <f t="shared" si="18"/>
        <v>11.5</v>
      </c>
      <c r="G130" s="194">
        <f t="shared" si="38"/>
        <v>-7.3274036425243466E-2</v>
      </c>
      <c r="H130" s="159">
        <v>216.6</v>
      </c>
      <c r="I130" s="159">
        <v>0</v>
      </c>
      <c r="J130" s="194">
        <f t="shared" si="39"/>
        <v>-1.0054844606947061E-2</v>
      </c>
      <c r="K130" s="159">
        <v>0</v>
      </c>
      <c r="L130" s="159">
        <v>204.6</v>
      </c>
      <c r="M130" s="159">
        <v>0</v>
      </c>
      <c r="N130" s="159">
        <v>216.6</v>
      </c>
      <c r="O130" s="159">
        <f>(1-$S$3)*N130</f>
        <v>216.6</v>
      </c>
      <c r="P130" s="251">
        <f t="shared" si="21"/>
        <v>0</v>
      </c>
      <c r="Q130" s="246">
        <f t="shared" si="22"/>
        <v>0</v>
      </c>
      <c r="R130" s="74">
        <f t="shared" si="37"/>
        <v>216.6</v>
      </c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</row>
    <row r="131" spans="1:42" s="21" customFormat="1" x14ac:dyDescent="0.25">
      <c r="A131" s="87" t="s">
        <v>109</v>
      </c>
      <c r="B131" s="91">
        <v>118.7</v>
      </c>
      <c r="C131" s="101">
        <v>117.98913728643593</v>
      </c>
      <c r="D131" s="26">
        <v>115.8</v>
      </c>
      <c r="E131" s="27">
        <f t="shared" si="36"/>
        <v>110</v>
      </c>
      <c r="F131" s="27">
        <f t="shared" si="18"/>
        <v>5.7999999999999972</v>
      </c>
      <c r="G131" s="28">
        <f t="shared" si="38"/>
        <v>-7.3294018534119654E-2</v>
      </c>
      <c r="H131" s="156">
        <v>108.9</v>
      </c>
      <c r="I131" s="156">
        <v>0</v>
      </c>
      <c r="J131" s="28">
        <f t="shared" si="39"/>
        <v>-9.9999999999999482E-3</v>
      </c>
      <c r="K131" s="156">
        <v>0</v>
      </c>
      <c r="L131" s="156">
        <v>102.9</v>
      </c>
      <c r="M131" s="156">
        <v>0</v>
      </c>
      <c r="N131" s="156">
        <v>108.9</v>
      </c>
      <c r="O131" s="156">
        <f>(1-$S$3)*N131</f>
        <v>108.9</v>
      </c>
      <c r="P131" s="230">
        <f t="shared" si="21"/>
        <v>0</v>
      </c>
      <c r="Q131" s="74">
        <f t="shared" si="22"/>
        <v>0</v>
      </c>
      <c r="R131" s="74">
        <f t="shared" si="37"/>
        <v>108.9</v>
      </c>
    </row>
    <row r="132" spans="1:42" s="21" customFormat="1" x14ac:dyDescent="0.25">
      <c r="A132" s="69" t="s">
        <v>110</v>
      </c>
      <c r="B132" s="74">
        <v>23356.400000000001</v>
      </c>
      <c r="C132" s="93">
        <v>23216.524735610044</v>
      </c>
      <c r="D132" s="14">
        <v>22762.5</v>
      </c>
      <c r="E132" s="16">
        <f t="shared" si="36"/>
        <v>21624.400000000001</v>
      </c>
      <c r="F132" s="16">
        <f t="shared" ref="F132:F195" si="40">D132-E132</f>
        <v>1138.0999999999985</v>
      </c>
      <c r="G132" s="3">
        <f t="shared" si="38"/>
        <v>-7.4155263653645248E-2</v>
      </c>
      <c r="H132" s="155">
        <f>ROUND('Formula I&amp;G'!C24/1000,1)</f>
        <v>21387.3</v>
      </c>
      <c r="I132" s="155">
        <f>H132+SUM(H133:H134)</f>
        <v>21786.799999999999</v>
      </c>
      <c r="J132" s="19">
        <f t="shared" si="39"/>
        <v>-1.0964466066110606E-2</v>
      </c>
      <c r="K132" s="19">
        <f>(I132-E132)/E132</f>
        <v>7.5100349605074735E-3</v>
      </c>
      <c r="L132" s="155">
        <v>21582.400000000001</v>
      </c>
      <c r="M132" s="155">
        <f>L132+SUM(L133:L134)</f>
        <v>21959.7</v>
      </c>
      <c r="N132" s="155">
        <v>21387.3</v>
      </c>
      <c r="O132" s="155">
        <f>(1-$T$3)*'Formula I&amp;G'!C24/1000</f>
        <v>21387.3</v>
      </c>
      <c r="P132" s="230">
        <f t="shared" ref="P132:P195" si="41">1-O132/N132</f>
        <v>0</v>
      </c>
      <c r="Q132" s="74">
        <f t="shared" ref="Q132:Q195" si="42">O132-N132</f>
        <v>0</v>
      </c>
      <c r="R132" s="74">
        <f t="shared" si="37"/>
        <v>21387.3</v>
      </c>
    </row>
    <row r="133" spans="1:42" s="21" customFormat="1" x14ac:dyDescent="0.25">
      <c r="A133" s="87" t="s">
        <v>111</v>
      </c>
      <c r="B133" s="91">
        <v>224.4</v>
      </c>
      <c r="C133" s="101">
        <v>223.05612811353177</v>
      </c>
      <c r="D133" s="26">
        <v>219</v>
      </c>
      <c r="E133" s="27">
        <f t="shared" si="36"/>
        <v>208.1</v>
      </c>
      <c r="F133" s="27">
        <f t="shared" si="40"/>
        <v>10.900000000000006</v>
      </c>
      <c r="G133" s="28">
        <f t="shared" si="38"/>
        <v>-7.2638146167557982E-2</v>
      </c>
      <c r="H133" s="156">
        <v>206</v>
      </c>
      <c r="I133" s="156">
        <v>0</v>
      </c>
      <c r="J133" s="28">
        <f t="shared" si="39"/>
        <v>-1.0091302258529526E-2</v>
      </c>
      <c r="K133" s="156">
        <v>0</v>
      </c>
      <c r="L133" s="156">
        <v>194.6</v>
      </c>
      <c r="M133" s="156">
        <v>0</v>
      </c>
      <c r="N133" s="156">
        <v>206</v>
      </c>
      <c r="O133" s="156">
        <f>(1-$S$3)*N133</f>
        <v>206</v>
      </c>
      <c r="P133" s="230">
        <f t="shared" si="41"/>
        <v>0</v>
      </c>
      <c r="Q133" s="74">
        <f t="shared" si="42"/>
        <v>0</v>
      </c>
      <c r="R133" s="74">
        <f t="shared" si="37"/>
        <v>206</v>
      </c>
    </row>
    <row r="134" spans="1:42" s="21" customFormat="1" x14ac:dyDescent="0.25">
      <c r="A134" s="87" t="s">
        <v>112</v>
      </c>
      <c r="B134" s="91">
        <v>210.9</v>
      </c>
      <c r="C134" s="101">
        <v>209.63697602114016</v>
      </c>
      <c r="D134" s="26">
        <v>205.7</v>
      </c>
      <c r="E134" s="27">
        <f t="shared" si="36"/>
        <v>195.4</v>
      </c>
      <c r="F134" s="27">
        <f t="shared" si="40"/>
        <v>10.299999999999983</v>
      </c>
      <c r="G134" s="28">
        <f t="shared" si="38"/>
        <v>-7.3494547178757696E-2</v>
      </c>
      <c r="H134" s="156">
        <v>193.5</v>
      </c>
      <c r="I134" s="156">
        <v>0</v>
      </c>
      <c r="J134" s="28">
        <f t="shared" si="39"/>
        <v>-9.7236438075742355E-3</v>
      </c>
      <c r="K134" s="156">
        <v>0</v>
      </c>
      <c r="L134" s="156">
        <v>182.7</v>
      </c>
      <c r="M134" s="156">
        <v>0</v>
      </c>
      <c r="N134" s="156">
        <v>193.5</v>
      </c>
      <c r="O134" s="156">
        <f>(1-$S$3)*N134</f>
        <v>193.5</v>
      </c>
      <c r="P134" s="230">
        <f t="shared" si="41"/>
        <v>0</v>
      </c>
      <c r="Q134" s="74">
        <f t="shared" si="42"/>
        <v>0</v>
      </c>
      <c r="R134" s="74">
        <f t="shared" si="37"/>
        <v>193.5</v>
      </c>
    </row>
    <row r="135" spans="1:42" s="21" customFormat="1" x14ac:dyDescent="0.25">
      <c r="A135" s="69" t="s">
        <v>113</v>
      </c>
      <c r="B135" s="74">
        <v>3672.1</v>
      </c>
      <c r="C135" s="93">
        <v>3650.1087702571303</v>
      </c>
      <c r="D135" s="14">
        <v>3557.7</v>
      </c>
      <c r="E135" s="16">
        <f t="shared" si="36"/>
        <v>3379.8</v>
      </c>
      <c r="F135" s="16">
        <f t="shared" si="40"/>
        <v>177.89999999999964</v>
      </c>
      <c r="G135" s="3">
        <f t="shared" si="38"/>
        <v>-7.9600228751940227E-2</v>
      </c>
      <c r="H135" s="155">
        <f>ROUND('Formula I&amp;G'!C25/1000,1)</f>
        <v>3320.1</v>
      </c>
      <c r="I135" s="155">
        <f>H135</f>
        <v>3320.1</v>
      </c>
      <c r="J135" s="19">
        <f t="shared" si="39"/>
        <v>-1.7663767086809948E-2</v>
      </c>
      <c r="K135" s="19">
        <f>(I135-E135)/E135</f>
        <v>-1.7663767086809948E-2</v>
      </c>
      <c r="L135" s="155">
        <v>3327.5</v>
      </c>
      <c r="M135" s="155">
        <f t="shared" ref="L135:M139" si="43">L135</f>
        <v>3327.5</v>
      </c>
      <c r="N135" s="155">
        <v>3320.1</v>
      </c>
      <c r="O135" s="155">
        <f>(1-$T$3)*'Formula I&amp;G'!C25/1000</f>
        <v>3320.1</v>
      </c>
      <c r="P135" s="230">
        <f t="shared" si="41"/>
        <v>0</v>
      </c>
      <c r="Q135" s="74">
        <f t="shared" si="42"/>
        <v>0</v>
      </c>
      <c r="R135" s="74">
        <f t="shared" si="37"/>
        <v>3320.1</v>
      </c>
    </row>
    <row r="136" spans="1:42" s="21" customFormat="1" x14ac:dyDescent="0.25">
      <c r="A136" s="69" t="s">
        <v>114</v>
      </c>
      <c r="B136" s="74">
        <v>11539.9</v>
      </c>
      <c r="C136" s="93">
        <v>11470.790609702965</v>
      </c>
      <c r="D136" s="14">
        <v>11649.6</v>
      </c>
      <c r="E136" s="16">
        <f t="shared" si="36"/>
        <v>11067.1</v>
      </c>
      <c r="F136" s="16">
        <f t="shared" si="40"/>
        <v>582.5</v>
      </c>
      <c r="G136" s="3">
        <f t="shared" si="38"/>
        <v>-4.0970892295427108E-2</v>
      </c>
      <c r="H136" s="149">
        <v>10956.4</v>
      </c>
      <c r="I136" s="149">
        <v>10956.4</v>
      </c>
      <c r="J136" s="3">
        <f t="shared" si="39"/>
        <v>-1.0002620379322561E-2</v>
      </c>
      <c r="K136" s="3">
        <f>(I136-E136)/E136</f>
        <v>-1.0002620379322561E-2</v>
      </c>
      <c r="L136" s="149">
        <v>11067.1</v>
      </c>
      <c r="M136" s="149">
        <v>11067.1</v>
      </c>
      <c r="N136" s="149">
        <v>10956.4</v>
      </c>
      <c r="O136" s="149">
        <f>(1-$S$3)*N136</f>
        <v>10956.4</v>
      </c>
      <c r="P136" s="230">
        <f t="shared" si="41"/>
        <v>0</v>
      </c>
      <c r="Q136" s="74">
        <f t="shared" si="42"/>
        <v>0</v>
      </c>
      <c r="R136" s="74">
        <f t="shared" si="37"/>
        <v>10956.4</v>
      </c>
    </row>
    <row r="137" spans="1:42" s="21" customFormat="1" x14ac:dyDescent="0.25">
      <c r="A137" s="71" t="s">
        <v>115</v>
      </c>
      <c r="B137" s="74">
        <v>400</v>
      </c>
      <c r="C137" s="93">
        <v>397.60450644123313</v>
      </c>
      <c r="D137" s="14">
        <v>0</v>
      </c>
      <c r="E137" s="16">
        <f t="shared" si="36"/>
        <v>0</v>
      </c>
      <c r="F137" s="16">
        <f t="shared" si="40"/>
        <v>0</v>
      </c>
      <c r="G137" s="3">
        <f t="shared" si="38"/>
        <v>-1</v>
      </c>
      <c r="H137" s="149">
        <f>IF(ISBLANK(E137),"",E137)</f>
        <v>0</v>
      </c>
      <c r="I137" s="149">
        <f>H137</f>
        <v>0</v>
      </c>
      <c r="J137" s="149">
        <v>0</v>
      </c>
      <c r="K137" s="149">
        <v>0</v>
      </c>
      <c r="L137" s="149">
        <f t="shared" si="43"/>
        <v>0</v>
      </c>
      <c r="M137" s="149">
        <f t="shared" si="43"/>
        <v>0</v>
      </c>
      <c r="N137" s="149">
        <f>IF(ISBLANK(K137),"",K137)</f>
        <v>0</v>
      </c>
      <c r="O137" s="149">
        <f>IF(ISBLANK(L137),"",L137)</f>
        <v>0</v>
      </c>
      <c r="P137" s="230"/>
      <c r="Q137" s="74"/>
      <c r="R137" s="74">
        <f t="shared" si="37"/>
        <v>0</v>
      </c>
    </row>
    <row r="138" spans="1:42" s="21" customFormat="1" x14ac:dyDescent="0.25">
      <c r="A138" s="88" t="s">
        <v>62</v>
      </c>
      <c r="B138" s="74"/>
      <c r="C138" s="93"/>
      <c r="D138" s="14"/>
      <c r="E138" s="16"/>
      <c r="F138" s="16"/>
      <c r="G138" s="3"/>
      <c r="H138" s="149"/>
      <c r="I138" s="149"/>
      <c r="J138" s="149" t="str">
        <f>IF(ISBLANK(G138),"",G138)</f>
        <v/>
      </c>
      <c r="K138" s="149" t="str">
        <f>J138</f>
        <v/>
      </c>
      <c r="L138" s="149" t="str">
        <f t="shared" si="43"/>
        <v/>
      </c>
      <c r="M138" s="149" t="str">
        <f t="shared" si="43"/>
        <v/>
      </c>
      <c r="N138" s="149"/>
      <c r="O138" s="149"/>
      <c r="P138" s="230"/>
      <c r="Q138" s="74"/>
      <c r="R138" s="74">
        <f t="shared" si="37"/>
        <v>0</v>
      </c>
    </row>
    <row r="139" spans="1:42" s="21" customFormat="1" x14ac:dyDescent="0.25">
      <c r="A139" s="71" t="s">
        <v>63</v>
      </c>
      <c r="B139" s="74">
        <v>0</v>
      </c>
      <c r="C139" s="93">
        <v>0</v>
      </c>
      <c r="D139" s="14">
        <v>0</v>
      </c>
      <c r="E139" s="16">
        <f t="shared" si="36"/>
        <v>0</v>
      </c>
      <c r="F139" s="16">
        <f t="shared" si="40"/>
        <v>0</v>
      </c>
      <c r="G139" s="3">
        <f t="shared" ref="G139:G153" si="44">IFERROR(((+E139-B139)/B139),0)</f>
        <v>0</v>
      </c>
      <c r="H139" s="149">
        <v>0</v>
      </c>
      <c r="I139" s="149">
        <f>H139</f>
        <v>0</v>
      </c>
      <c r="J139" s="149">
        <v>0</v>
      </c>
      <c r="K139" s="149">
        <f>J139</f>
        <v>0</v>
      </c>
      <c r="L139" s="149">
        <f t="shared" si="43"/>
        <v>0</v>
      </c>
      <c r="M139" s="149">
        <f t="shared" si="43"/>
        <v>0</v>
      </c>
      <c r="N139" s="149">
        <v>0</v>
      </c>
      <c r="O139" s="149">
        <f t="shared" ref="O139:O154" si="45">(1-$S$3)*N139</f>
        <v>0</v>
      </c>
      <c r="P139" s="230"/>
      <c r="Q139" s="74"/>
      <c r="R139" s="74">
        <f t="shared" si="37"/>
        <v>0</v>
      </c>
    </row>
    <row r="140" spans="1:42" s="21" customFormat="1" x14ac:dyDescent="0.25">
      <c r="A140" s="71" t="s">
        <v>116</v>
      </c>
      <c r="B140" s="74">
        <v>14925.5</v>
      </c>
      <c r="C140" s="93">
        <v>14836.115152221562</v>
      </c>
      <c r="D140" s="14">
        <v>14366.8</v>
      </c>
      <c r="E140" s="16">
        <f t="shared" si="36"/>
        <v>13648.5</v>
      </c>
      <c r="F140" s="16">
        <f t="shared" si="40"/>
        <v>718.29999999999927</v>
      </c>
      <c r="G140" s="3">
        <f t="shared" si="44"/>
        <v>-8.5558272754681586E-2</v>
      </c>
      <c r="H140" s="149">
        <v>13512</v>
      </c>
      <c r="I140" s="149">
        <v>13512</v>
      </c>
      <c r="J140" s="3">
        <f t="shared" ref="J140:J152" si="46">(H140-E140)/E140</f>
        <v>-1.0001099021870536E-2</v>
      </c>
      <c r="K140" s="3">
        <f>(I140-E140)/E140</f>
        <v>-1.0001099021870536E-2</v>
      </c>
      <c r="L140" s="149">
        <v>13648.5</v>
      </c>
      <c r="M140" s="149">
        <v>13648.5</v>
      </c>
      <c r="N140" s="149">
        <v>13512</v>
      </c>
      <c r="O140" s="149">
        <f t="shared" si="45"/>
        <v>13512</v>
      </c>
      <c r="P140" s="230">
        <f t="shared" si="41"/>
        <v>0</v>
      </c>
      <c r="Q140" s="74">
        <f t="shared" si="42"/>
        <v>0</v>
      </c>
      <c r="R140" s="74">
        <f t="shared" si="37"/>
        <v>13512</v>
      </c>
    </row>
    <row r="141" spans="1:42" s="21" customFormat="1" x14ac:dyDescent="0.25">
      <c r="A141" s="71" t="s">
        <v>117</v>
      </c>
      <c r="B141" s="74">
        <v>13612.6</v>
      </c>
      <c r="C141" s="93">
        <v>13531.077760954824</v>
      </c>
      <c r="D141" s="14">
        <v>13281.7</v>
      </c>
      <c r="E141" s="16">
        <f t="shared" si="36"/>
        <v>12617.6</v>
      </c>
      <c r="F141" s="16">
        <f t="shared" si="40"/>
        <v>664.10000000000036</v>
      </c>
      <c r="G141" s="3">
        <f t="shared" si="44"/>
        <v>-7.3094045222808282E-2</v>
      </c>
      <c r="H141" s="149">
        <v>12491.4</v>
      </c>
      <c r="I141" s="149">
        <v>12491.4</v>
      </c>
      <c r="J141" s="3">
        <f t="shared" si="46"/>
        <v>-1.0001902104996253E-2</v>
      </c>
      <c r="K141" s="3">
        <f>(I141-E141)/E141</f>
        <v>-1.0001902104996253E-2</v>
      </c>
      <c r="L141" s="149">
        <v>12617.6</v>
      </c>
      <c r="M141" s="149">
        <v>12617.6</v>
      </c>
      <c r="N141" s="149">
        <v>12491.4</v>
      </c>
      <c r="O141" s="149">
        <f t="shared" si="45"/>
        <v>12491.4</v>
      </c>
      <c r="P141" s="230">
        <f t="shared" si="41"/>
        <v>0</v>
      </c>
      <c r="Q141" s="74">
        <f t="shared" si="42"/>
        <v>0</v>
      </c>
      <c r="R141" s="74">
        <f t="shared" si="37"/>
        <v>12491.4</v>
      </c>
    </row>
    <row r="142" spans="1:42" s="252" customFormat="1" x14ac:dyDescent="0.25">
      <c r="A142" s="245" t="s">
        <v>118</v>
      </c>
      <c r="B142" s="246">
        <v>329.5</v>
      </c>
      <c r="C142" s="253">
        <v>327.52671218096577</v>
      </c>
      <c r="D142" s="248">
        <v>321.5</v>
      </c>
      <c r="E142" s="254">
        <f>ROUND(D142*0.95,1)</f>
        <v>305.39999999999998</v>
      </c>
      <c r="F142" s="254">
        <f t="shared" si="40"/>
        <v>16.100000000000023</v>
      </c>
      <c r="G142" s="194">
        <f t="shared" si="44"/>
        <v>-7.3141122913505385E-2</v>
      </c>
      <c r="H142" s="159">
        <v>302.39999999999998</v>
      </c>
      <c r="I142" s="159">
        <v>0</v>
      </c>
      <c r="J142" s="194">
        <f t="shared" si="46"/>
        <v>-9.8231827111984298E-3</v>
      </c>
      <c r="K142" s="159">
        <v>0</v>
      </c>
      <c r="L142" s="159">
        <v>285.5</v>
      </c>
      <c r="M142" s="159">
        <v>0</v>
      </c>
      <c r="N142" s="159">
        <v>302.39999999999998</v>
      </c>
      <c r="O142" s="159">
        <f t="shared" si="45"/>
        <v>302.39999999999998</v>
      </c>
      <c r="P142" s="251">
        <f t="shared" si="41"/>
        <v>0</v>
      </c>
      <c r="Q142" s="246">
        <f t="shared" si="42"/>
        <v>0</v>
      </c>
      <c r="R142" s="74">
        <f t="shared" si="37"/>
        <v>302.39999999999998</v>
      </c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</row>
    <row r="143" spans="1:42" s="21" customFormat="1" x14ac:dyDescent="0.25">
      <c r="A143" s="95" t="s">
        <v>119</v>
      </c>
      <c r="B143" s="91">
        <v>701.7</v>
      </c>
      <c r="C143" s="101">
        <v>697.49770542453325</v>
      </c>
      <c r="D143" s="26">
        <v>684.7</v>
      </c>
      <c r="E143" s="27">
        <f t="shared" ref="E143:E154" si="47">ROUND(D143*0.95,1)</f>
        <v>650.5</v>
      </c>
      <c r="F143" s="27">
        <f t="shared" si="40"/>
        <v>34.200000000000045</v>
      </c>
      <c r="G143" s="28">
        <f t="shared" si="44"/>
        <v>-7.296565483825003E-2</v>
      </c>
      <c r="H143" s="156">
        <v>643.9</v>
      </c>
      <c r="I143" s="156">
        <v>0</v>
      </c>
      <c r="J143" s="28">
        <f t="shared" si="46"/>
        <v>-1.0146041506533471E-2</v>
      </c>
      <c r="K143" s="156">
        <v>0</v>
      </c>
      <c r="L143" s="156">
        <v>608.20000000000005</v>
      </c>
      <c r="M143" s="156">
        <v>0</v>
      </c>
      <c r="N143" s="156">
        <v>643.9</v>
      </c>
      <c r="O143" s="156">
        <f t="shared" si="45"/>
        <v>643.9</v>
      </c>
      <c r="P143" s="230">
        <f t="shared" si="41"/>
        <v>0</v>
      </c>
      <c r="Q143" s="74">
        <f t="shared" si="42"/>
        <v>0</v>
      </c>
      <c r="R143" s="74">
        <f t="shared" si="37"/>
        <v>643.9</v>
      </c>
    </row>
    <row r="144" spans="1:42" s="21" customFormat="1" x14ac:dyDescent="0.25">
      <c r="A144" s="87" t="s">
        <v>121</v>
      </c>
      <c r="B144" s="91">
        <v>299.10000000000002</v>
      </c>
      <c r="C144" s="101">
        <v>297.30876969143208</v>
      </c>
      <c r="D144" s="26">
        <v>291.8</v>
      </c>
      <c r="E144" s="27">
        <f t="shared" si="47"/>
        <v>277.2</v>
      </c>
      <c r="F144" s="27">
        <f t="shared" si="40"/>
        <v>14.600000000000023</v>
      </c>
      <c r="G144" s="28">
        <f t="shared" si="44"/>
        <v>-7.3219658976930904E-2</v>
      </c>
      <c r="H144" s="156">
        <v>274.39999999999998</v>
      </c>
      <c r="I144" s="156">
        <v>0</v>
      </c>
      <c r="J144" s="28">
        <f t="shared" si="46"/>
        <v>-1.0101010101010142E-2</v>
      </c>
      <c r="K144" s="156">
        <v>0</v>
      </c>
      <c r="L144" s="156">
        <v>259.2</v>
      </c>
      <c r="M144" s="156">
        <v>0</v>
      </c>
      <c r="N144" s="156">
        <v>274.39999999999998</v>
      </c>
      <c r="O144" s="156">
        <f t="shared" si="45"/>
        <v>274.39999999999998</v>
      </c>
      <c r="P144" s="230">
        <f t="shared" si="41"/>
        <v>0</v>
      </c>
      <c r="Q144" s="74">
        <f t="shared" si="42"/>
        <v>0</v>
      </c>
      <c r="R144" s="74">
        <f t="shared" si="37"/>
        <v>274.39999999999998</v>
      </c>
    </row>
    <row r="145" spans="1:42" s="252" customFormat="1" x14ac:dyDescent="0.25">
      <c r="A145" s="245" t="s">
        <v>122</v>
      </c>
      <c r="B145" s="246">
        <v>551.29999999999995</v>
      </c>
      <c r="C145" s="253">
        <v>547.9984110026295</v>
      </c>
      <c r="D145" s="248">
        <v>537.9</v>
      </c>
      <c r="E145" s="254">
        <f t="shared" si="47"/>
        <v>511</v>
      </c>
      <c r="F145" s="254">
        <f t="shared" si="40"/>
        <v>26.899999999999977</v>
      </c>
      <c r="G145" s="194">
        <f t="shared" si="44"/>
        <v>-7.3099945583166986E-2</v>
      </c>
      <c r="H145" s="159">
        <v>505.8</v>
      </c>
      <c r="I145" s="159">
        <v>0</v>
      </c>
      <c r="J145" s="194">
        <f t="shared" si="46"/>
        <v>-1.0176125244618374E-2</v>
      </c>
      <c r="K145" s="159">
        <v>0</v>
      </c>
      <c r="L145" s="159">
        <v>477.8</v>
      </c>
      <c r="M145" s="159">
        <v>0</v>
      </c>
      <c r="N145" s="159">
        <v>505.8</v>
      </c>
      <c r="O145" s="159">
        <f t="shared" si="45"/>
        <v>505.8</v>
      </c>
      <c r="P145" s="251">
        <f t="shared" si="41"/>
        <v>0</v>
      </c>
      <c r="Q145" s="246">
        <f t="shared" si="42"/>
        <v>0</v>
      </c>
      <c r="R145" s="74">
        <f t="shared" si="37"/>
        <v>505.8</v>
      </c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</row>
    <row r="146" spans="1:42" s="21" customFormat="1" x14ac:dyDescent="0.25">
      <c r="A146" s="87" t="s">
        <v>123</v>
      </c>
      <c r="B146" s="91">
        <v>338.2</v>
      </c>
      <c r="C146" s="101">
        <v>336.17461019606259</v>
      </c>
      <c r="D146" s="26">
        <v>329.9</v>
      </c>
      <c r="E146" s="27">
        <f t="shared" si="47"/>
        <v>313.39999999999998</v>
      </c>
      <c r="F146" s="27">
        <f t="shared" si="40"/>
        <v>16.5</v>
      </c>
      <c r="G146" s="28">
        <f t="shared" si="44"/>
        <v>-7.3329390892962781E-2</v>
      </c>
      <c r="H146" s="156">
        <v>310.2</v>
      </c>
      <c r="I146" s="156">
        <v>0</v>
      </c>
      <c r="J146" s="28">
        <f t="shared" si="46"/>
        <v>-1.0210593490746614E-2</v>
      </c>
      <c r="K146" s="156">
        <v>0</v>
      </c>
      <c r="L146" s="156">
        <v>293</v>
      </c>
      <c r="M146" s="156">
        <v>0</v>
      </c>
      <c r="N146" s="156">
        <v>310.2</v>
      </c>
      <c r="O146" s="156">
        <f t="shared" si="45"/>
        <v>310.2</v>
      </c>
      <c r="P146" s="230">
        <f t="shared" si="41"/>
        <v>0</v>
      </c>
      <c r="Q146" s="74">
        <f t="shared" si="42"/>
        <v>0</v>
      </c>
      <c r="R146" s="74">
        <f t="shared" si="37"/>
        <v>310.2</v>
      </c>
    </row>
    <row r="147" spans="1:42" s="21" customFormat="1" x14ac:dyDescent="0.25">
      <c r="A147" s="87" t="s">
        <v>124</v>
      </c>
      <c r="B147" s="91">
        <v>763.1</v>
      </c>
      <c r="C147" s="101">
        <v>758.52999716326246</v>
      </c>
      <c r="D147" s="26">
        <v>744.5</v>
      </c>
      <c r="E147" s="27">
        <f t="shared" si="47"/>
        <v>707.3</v>
      </c>
      <c r="F147" s="27">
        <f t="shared" si="40"/>
        <v>37.200000000000045</v>
      </c>
      <c r="G147" s="28">
        <f t="shared" si="44"/>
        <v>-7.3122788625344076E-2</v>
      </c>
      <c r="H147" s="156">
        <v>700.2</v>
      </c>
      <c r="I147" s="156">
        <v>0</v>
      </c>
      <c r="J147" s="28">
        <f t="shared" si="46"/>
        <v>-1.0038173335218309E-2</v>
      </c>
      <c r="K147" s="156">
        <v>0</v>
      </c>
      <c r="L147" s="156">
        <v>661.3</v>
      </c>
      <c r="M147" s="156">
        <v>0</v>
      </c>
      <c r="N147" s="156">
        <v>700.2</v>
      </c>
      <c r="O147" s="156">
        <f t="shared" si="45"/>
        <v>700.2</v>
      </c>
      <c r="P147" s="230">
        <f t="shared" si="41"/>
        <v>0</v>
      </c>
      <c r="Q147" s="74">
        <f t="shared" si="42"/>
        <v>0</v>
      </c>
      <c r="R147" s="74">
        <f t="shared" si="37"/>
        <v>700.2</v>
      </c>
    </row>
    <row r="148" spans="1:42" s="252" customFormat="1" x14ac:dyDescent="0.25">
      <c r="A148" s="245" t="s">
        <v>125</v>
      </c>
      <c r="B148" s="246">
        <v>99.7</v>
      </c>
      <c r="C148" s="253">
        <v>99.102923230477359</v>
      </c>
      <c r="D148" s="248">
        <v>97.3</v>
      </c>
      <c r="E148" s="254">
        <f t="shared" si="47"/>
        <v>92.4</v>
      </c>
      <c r="F148" s="254">
        <f t="shared" si="40"/>
        <v>4.8999999999999915</v>
      </c>
      <c r="G148" s="194">
        <f t="shared" si="44"/>
        <v>-7.3219658976930765E-2</v>
      </c>
      <c r="H148" s="159">
        <v>91.4</v>
      </c>
      <c r="I148" s="159">
        <v>0</v>
      </c>
      <c r="J148" s="194">
        <f t="shared" si="46"/>
        <v>-1.0822510822510822E-2</v>
      </c>
      <c r="K148" s="159">
        <v>0</v>
      </c>
      <c r="L148" s="159">
        <v>86.4</v>
      </c>
      <c r="M148" s="159">
        <v>0</v>
      </c>
      <c r="N148" s="159">
        <v>91.4</v>
      </c>
      <c r="O148" s="159">
        <f t="shared" si="45"/>
        <v>91.4</v>
      </c>
      <c r="P148" s="251">
        <f t="shared" si="41"/>
        <v>0</v>
      </c>
      <c r="Q148" s="246">
        <f t="shared" si="42"/>
        <v>0</v>
      </c>
      <c r="R148" s="74">
        <f t="shared" si="37"/>
        <v>91.4</v>
      </c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</row>
    <row r="149" spans="1:42" s="252" customFormat="1" x14ac:dyDescent="0.25">
      <c r="A149" s="245" t="s">
        <v>126</v>
      </c>
      <c r="B149" s="246">
        <v>151.1</v>
      </c>
      <c r="C149" s="253">
        <v>150.19510230817579</v>
      </c>
      <c r="D149" s="248">
        <v>147.4</v>
      </c>
      <c r="E149" s="254">
        <f t="shared" si="47"/>
        <v>140</v>
      </c>
      <c r="F149" s="254">
        <f t="shared" si="40"/>
        <v>7.4000000000000057</v>
      </c>
      <c r="G149" s="194">
        <f t="shared" si="44"/>
        <v>-7.3461283917935105E-2</v>
      </c>
      <c r="H149" s="159">
        <v>138.6</v>
      </c>
      <c r="I149" s="159">
        <v>0</v>
      </c>
      <c r="J149" s="194">
        <f t="shared" si="46"/>
        <v>-1.000000000000004E-2</v>
      </c>
      <c r="K149" s="159">
        <v>0</v>
      </c>
      <c r="L149" s="159">
        <v>130.9</v>
      </c>
      <c r="M149" s="159">
        <v>0</v>
      </c>
      <c r="N149" s="159">
        <v>138.6</v>
      </c>
      <c r="O149" s="159">
        <f t="shared" si="45"/>
        <v>138.6</v>
      </c>
      <c r="P149" s="251">
        <f t="shared" si="41"/>
        <v>0</v>
      </c>
      <c r="Q149" s="246">
        <f t="shared" si="42"/>
        <v>0</v>
      </c>
      <c r="R149" s="74">
        <f t="shared" si="37"/>
        <v>138.6</v>
      </c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</row>
    <row r="150" spans="1:42" s="21" customFormat="1" x14ac:dyDescent="0.25">
      <c r="A150" s="71" t="s">
        <v>120</v>
      </c>
      <c r="B150" s="74">
        <v>619.29999999999995</v>
      </c>
      <c r="C150" s="93">
        <v>615.59117709763916</v>
      </c>
      <c r="D150" s="14">
        <v>604.20000000000005</v>
      </c>
      <c r="E150" s="16">
        <f t="shared" si="47"/>
        <v>574</v>
      </c>
      <c r="F150" s="16">
        <f>D150-E150</f>
        <v>30.200000000000045</v>
      </c>
      <c r="G150" s="3">
        <f t="shared" si="44"/>
        <v>-7.3147101566284442E-2</v>
      </c>
      <c r="H150" s="159">
        <f>568.3</f>
        <v>568.29999999999995</v>
      </c>
      <c r="I150" s="159">
        <f>568.3+47.3</f>
        <v>615.59999999999991</v>
      </c>
      <c r="J150" s="194">
        <f t="shared" si="46"/>
        <v>-9.9303135888502529E-3</v>
      </c>
      <c r="K150" s="194">
        <f>(I150-E150)/E150</f>
        <v>7.2473867595818656E-2</v>
      </c>
      <c r="L150" s="159">
        <v>621.79999999999995</v>
      </c>
      <c r="M150" s="159">
        <v>621.79999999999995</v>
      </c>
      <c r="N150" s="159">
        <v>615.6</v>
      </c>
      <c r="O150" s="159">
        <f t="shared" si="45"/>
        <v>615.6</v>
      </c>
      <c r="P150" s="230">
        <f t="shared" si="41"/>
        <v>0</v>
      </c>
      <c r="Q150" s="74">
        <f t="shared" si="42"/>
        <v>0</v>
      </c>
      <c r="R150" s="74">
        <f t="shared" si="37"/>
        <v>615.6</v>
      </c>
      <c r="S150" s="164">
        <f>500/O150</f>
        <v>0.81221572449642621</v>
      </c>
    </row>
    <row r="151" spans="1:42" s="21" customFormat="1" x14ac:dyDescent="0.25">
      <c r="A151" s="96" t="s">
        <v>127</v>
      </c>
      <c r="B151" s="108">
        <v>217.8</v>
      </c>
      <c r="C151" s="104">
        <v>216.49565375725143</v>
      </c>
      <c r="D151" s="137">
        <v>212.5</v>
      </c>
      <c r="E151" s="22">
        <f t="shared" si="47"/>
        <v>201.9</v>
      </c>
      <c r="F151" s="22">
        <f t="shared" si="40"/>
        <v>10.599999999999994</v>
      </c>
      <c r="G151" s="23">
        <f t="shared" si="44"/>
        <v>-7.3002754820936655E-2</v>
      </c>
      <c r="H151" s="149">
        <v>199.8</v>
      </c>
      <c r="I151" s="149">
        <f>H151</f>
        <v>199.8</v>
      </c>
      <c r="J151" s="3">
        <f t="shared" si="46"/>
        <v>-1.0401188707280804E-2</v>
      </c>
      <c r="K151" s="3">
        <f>(I151-E151)/E151</f>
        <v>-1.0401188707280804E-2</v>
      </c>
      <c r="L151" s="149">
        <v>201.9</v>
      </c>
      <c r="M151" s="149">
        <f>L151</f>
        <v>201.9</v>
      </c>
      <c r="N151" s="149">
        <v>199.8</v>
      </c>
      <c r="O151" s="149">
        <f t="shared" si="45"/>
        <v>199.8</v>
      </c>
      <c r="P151" s="230">
        <f t="shared" si="41"/>
        <v>0</v>
      </c>
      <c r="Q151" s="74">
        <f t="shared" si="42"/>
        <v>0</v>
      </c>
      <c r="R151" s="74">
        <f t="shared" si="37"/>
        <v>199.8</v>
      </c>
    </row>
    <row r="152" spans="1:42" s="21" customFormat="1" x14ac:dyDescent="0.25">
      <c r="A152" s="71" t="s">
        <v>128</v>
      </c>
      <c r="B152" s="74">
        <v>100</v>
      </c>
      <c r="C152" s="93">
        <v>99.401126610308282</v>
      </c>
      <c r="D152" s="14">
        <v>50.3</v>
      </c>
      <c r="E152" s="16">
        <f t="shared" si="47"/>
        <v>47.8</v>
      </c>
      <c r="F152" s="16">
        <f t="shared" si="40"/>
        <v>2.5</v>
      </c>
      <c r="G152" s="3">
        <f t="shared" si="44"/>
        <v>-0.52200000000000002</v>
      </c>
      <c r="H152" s="149">
        <v>47.3</v>
      </c>
      <c r="I152" s="149">
        <v>0</v>
      </c>
      <c r="J152" s="3">
        <f t="shared" si="46"/>
        <v>-1.0460251046025106E-2</v>
      </c>
      <c r="K152" s="3">
        <f>(I152-E152)/E152</f>
        <v>-1</v>
      </c>
      <c r="L152" s="149">
        <v>0</v>
      </c>
      <c r="M152" s="149">
        <v>0</v>
      </c>
      <c r="N152" s="149">
        <v>0</v>
      </c>
      <c r="O152" s="149">
        <f t="shared" si="45"/>
        <v>0</v>
      </c>
      <c r="P152" s="230" t="e">
        <f t="shared" si="41"/>
        <v>#DIV/0!</v>
      </c>
      <c r="Q152" s="74">
        <f t="shared" si="42"/>
        <v>0</v>
      </c>
      <c r="R152" s="74">
        <f t="shared" si="37"/>
        <v>0</v>
      </c>
    </row>
    <row r="153" spans="1:42" s="21" customFormat="1" x14ac:dyDescent="0.25">
      <c r="A153" s="71" t="s">
        <v>129</v>
      </c>
      <c r="B153" s="74">
        <v>0</v>
      </c>
      <c r="C153" s="93">
        <v>0</v>
      </c>
      <c r="D153" s="14">
        <v>0</v>
      </c>
      <c r="E153" s="16">
        <f t="shared" si="47"/>
        <v>0</v>
      </c>
      <c r="F153" s="16">
        <f t="shared" si="40"/>
        <v>0</v>
      </c>
      <c r="G153" s="3">
        <f t="shared" si="44"/>
        <v>0</v>
      </c>
      <c r="H153" s="149">
        <f>IF(ISBLANK(E153),"",E153)</f>
        <v>0</v>
      </c>
      <c r="I153" s="149">
        <v>0</v>
      </c>
      <c r="J153" s="149">
        <f>IF(ISBLANK(G153),"",G153)</f>
        <v>0</v>
      </c>
      <c r="K153" s="149">
        <v>0</v>
      </c>
      <c r="L153" s="149">
        <v>0</v>
      </c>
      <c r="M153" s="149">
        <v>0</v>
      </c>
      <c r="N153" s="149">
        <f>IF(ISBLANK(K153),"",K153)</f>
        <v>0</v>
      </c>
      <c r="O153" s="149">
        <f t="shared" si="45"/>
        <v>0</v>
      </c>
      <c r="P153" s="230"/>
      <c r="Q153" s="74"/>
      <c r="R153" s="74">
        <f t="shared" si="37"/>
        <v>0</v>
      </c>
    </row>
    <row r="154" spans="1:42" s="21" customFormat="1" ht="16.5" thickBot="1" x14ac:dyDescent="0.3">
      <c r="A154" s="71" t="s">
        <v>130</v>
      </c>
      <c r="B154" s="74">
        <v>0</v>
      </c>
      <c r="C154" s="93">
        <v>0</v>
      </c>
      <c r="D154" s="14">
        <v>0</v>
      </c>
      <c r="E154" s="16">
        <f t="shared" si="47"/>
        <v>0</v>
      </c>
      <c r="F154" s="16">
        <f t="shared" si="40"/>
        <v>0</v>
      </c>
      <c r="G154" s="3">
        <v>0</v>
      </c>
      <c r="H154" s="149">
        <f>IF(ISBLANK(E154),"",E154)</f>
        <v>0</v>
      </c>
      <c r="I154" s="149">
        <v>0</v>
      </c>
      <c r="J154" s="149">
        <f>IF(ISBLANK(G154),"",G154)</f>
        <v>0</v>
      </c>
      <c r="K154" s="149">
        <v>0</v>
      </c>
      <c r="L154" s="149">
        <v>0</v>
      </c>
      <c r="M154" s="149">
        <v>0</v>
      </c>
      <c r="N154" s="149">
        <f>IF(ISBLANK(K154),"",K154)</f>
        <v>0</v>
      </c>
      <c r="O154" s="149">
        <f t="shared" si="45"/>
        <v>0</v>
      </c>
      <c r="P154" s="231"/>
      <c r="Q154" s="114"/>
      <c r="R154" s="114">
        <f t="shared" si="37"/>
        <v>0</v>
      </c>
    </row>
    <row r="155" spans="1:42" s="21" customFormat="1" ht="16.5" thickBot="1" x14ac:dyDescent="0.3">
      <c r="A155" s="81" t="s">
        <v>131</v>
      </c>
      <c r="B155" s="15">
        <v>208267.50000000003</v>
      </c>
      <c r="C155" s="17">
        <f>SUM(C124:C154)</f>
        <v>207020.24136312376</v>
      </c>
      <c r="D155" s="15">
        <f>SUM(D124:D154)</f>
        <v>202855.19999999998</v>
      </c>
      <c r="E155" s="15">
        <f>SUM(E124:E154)</f>
        <v>192695.69999999998</v>
      </c>
      <c r="F155" s="17">
        <f t="shared" si="40"/>
        <v>10159.5</v>
      </c>
      <c r="G155" s="6">
        <f>IFERROR(((+E155-B155)/B155),0)</f>
        <v>-7.4768266772300265E-2</v>
      </c>
      <c r="H155" s="141">
        <f>SUM(H124:H154)</f>
        <v>190633.49999999994</v>
      </c>
      <c r="I155" s="141">
        <f>SUM(I124:I154)</f>
        <v>190633.49999999997</v>
      </c>
      <c r="J155" s="20">
        <f>(H155-E155)/E155</f>
        <v>-1.0701847524361161E-2</v>
      </c>
      <c r="K155" s="20">
        <f>(I155-E155)/E155</f>
        <v>-1.070184752436101E-2</v>
      </c>
      <c r="L155" s="141">
        <f>SUM(L124:L154)</f>
        <v>192067.7</v>
      </c>
      <c r="M155" s="142">
        <f>SUM(M124:M154)</f>
        <v>192067.7</v>
      </c>
      <c r="N155" s="141">
        <f>SUM(N124:N154)</f>
        <v>190633.49999999997</v>
      </c>
      <c r="O155" s="141">
        <f>SUM(O124:O154)</f>
        <v>190633.49999999997</v>
      </c>
      <c r="P155" s="232">
        <f t="shared" si="41"/>
        <v>0</v>
      </c>
      <c r="Q155" s="125">
        <f t="shared" si="42"/>
        <v>0</v>
      </c>
      <c r="R155" s="141">
        <f>SUM(R124:R154)</f>
        <v>190633.49999999997</v>
      </c>
    </row>
    <row r="156" spans="1:42" s="21" customFormat="1" x14ac:dyDescent="0.25">
      <c r="A156" s="97"/>
      <c r="B156" s="74"/>
      <c r="C156" s="93"/>
      <c r="D156" s="14"/>
      <c r="E156" s="16"/>
      <c r="F156" s="16"/>
      <c r="G156" s="7"/>
      <c r="H156" s="149"/>
      <c r="I156" s="149" t="s">
        <v>230</v>
      </c>
      <c r="J156" s="3"/>
      <c r="K156" s="3"/>
      <c r="L156" s="149" t="s">
        <v>230</v>
      </c>
      <c r="M156" s="149" t="s">
        <v>230</v>
      </c>
      <c r="N156" s="149"/>
      <c r="O156" s="149"/>
      <c r="P156" s="229"/>
      <c r="Q156" s="79"/>
      <c r="R156" s="79"/>
    </row>
    <row r="157" spans="1:42" s="21" customFormat="1" x14ac:dyDescent="0.25">
      <c r="A157" s="69" t="s">
        <v>132</v>
      </c>
      <c r="B157" s="74"/>
      <c r="C157" s="93"/>
      <c r="D157" s="14"/>
      <c r="E157" s="16"/>
      <c r="F157" s="16"/>
      <c r="G157" s="7"/>
      <c r="H157" s="160"/>
      <c r="I157" s="149" t="s">
        <v>230</v>
      </c>
      <c r="J157" s="195"/>
      <c r="K157" s="3"/>
      <c r="L157" s="149" t="s">
        <v>230</v>
      </c>
      <c r="M157" s="149" t="s">
        <v>230</v>
      </c>
      <c r="N157" s="160"/>
      <c r="O157" s="160"/>
      <c r="P157" s="230"/>
      <c r="Q157" s="74"/>
      <c r="R157" s="74"/>
    </row>
    <row r="158" spans="1:42" s="21" customFormat="1" x14ac:dyDescent="0.25">
      <c r="A158" s="82" t="s">
        <v>133</v>
      </c>
      <c r="B158" s="106">
        <v>28382.5</v>
      </c>
      <c r="C158" s="100">
        <v>28212.524760170745</v>
      </c>
      <c r="D158" s="29">
        <v>27695.599999999999</v>
      </c>
      <c r="E158" s="30">
        <f>ROUND((D158-11.6)*0.95,1)</f>
        <v>26299.8</v>
      </c>
      <c r="F158" s="30">
        <f t="shared" si="40"/>
        <v>1395.7999999999993</v>
      </c>
      <c r="G158" s="19">
        <f>IFERROR(((+E158-B158)/B158),0)</f>
        <v>-7.33797234211222E-2</v>
      </c>
      <c r="H158" s="155">
        <f>ROUND('Formula I&amp;G'!C15/1000,1)</f>
        <v>26046.1</v>
      </c>
      <c r="I158" s="155">
        <f>H158+SUM(H162:H165)</f>
        <v>27122.199999999997</v>
      </c>
      <c r="J158" s="19">
        <f>(H158-E158)/E158</f>
        <v>-9.6464611898189612E-3</v>
      </c>
      <c r="K158" s="19">
        <f>(I158-E158)/E158</f>
        <v>3.1270199773382225E-2</v>
      </c>
      <c r="L158" s="155">
        <v>26317.200000000001</v>
      </c>
      <c r="M158" s="155">
        <f>L158+SUM(L162:L165)</f>
        <v>27133.8</v>
      </c>
      <c r="N158" s="155">
        <v>26046.1</v>
      </c>
      <c r="O158" s="155">
        <f>(1-$T$3)*'Formula I&amp;G'!C15/1000</f>
        <v>26046.1</v>
      </c>
      <c r="P158" s="230">
        <f t="shared" si="41"/>
        <v>0</v>
      </c>
      <c r="Q158" s="74">
        <f t="shared" si="42"/>
        <v>0</v>
      </c>
      <c r="R158" s="106">
        <f>O158</f>
        <v>26046.1</v>
      </c>
    </row>
    <row r="159" spans="1:42" s="21" customFormat="1" x14ac:dyDescent="0.25">
      <c r="A159" s="83" t="s">
        <v>134</v>
      </c>
      <c r="B159" s="74">
        <v>2145.4</v>
      </c>
      <c r="C159" s="93">
        <v>2132.551770297554</v>
      </c>
      <c r="D159" s="14">
        <v>2093.1999999999998</v>
      </c>
      <c r="E159" s="16">
        <f t="shared" ref="E159:E165" si="48">ROUND(D159*0.95,1)</f>
        <v>1988.5</v>
      </c>
      <c r="F159" s="16">
        <f t="shared" si="40"/>
        <v>104.69999999999982</v>
      </c>
      <c r="G159" s="3">
        <f>IFERROR(((+E159-B159)/B159),0)</f>
        <v>-7.3133215251235242E-2</v>
      </c>
      <c r="H159" s="149">
        <v>1968.7</v>
      </c>
      <c r="I159" s="149">
        <v>1968.7</v>
      </c>
      <c r="J159" s="3">
        <f>(H159-E159)/E159</f>
        <v>-9.9572542117173524E-3</v>
      </c>
      <c r="K159" s="3">
        <f>(I159-E159)/E159</f>
        <v>-9.9572542117173524E-3</v>
      </c>
      <c r="L159" s="149">
        <v>1938.8</v>
      </c>
      <c r="M159" s="149">
        <v>1938.8</v>
      </c>
      <c r="N159" s="149">
        <v>1968.7</v>
      </c>
      <c r="O159" s="149">
        <f t="shared" ref="O159:O165" si="49">(1-$S$3)*N159</f>
        <v>1968.7</v>
      </c>
      <c r="P159" s="230">
        <f t="shared" si="41"/>
        <v>0</v>
      </c>
      <c r="Q159" s="74">
        <f t="shared" si="42"/>
        <v>0</v>
      </c>
      <c r="R159" s="74">
        <f t="shared" ref="R159:R165" si="50">O159</f>
        <v>1968.7</v>
      </c>
    </row>
    <row r="160" spans="1:42" s="21" customFormat="1" x14ac:dyDescent="0.25">
      <c r="A160" s="88" t="s">
        <v>62</v>
      </c>
      <c r="B160" s="74"/>
      <c r="C160" s="93"/>
      <c r="D160" s="14"/>
      <c r="E160" s="16"/>
      <c r="F160" s="16"/>
      <c r="G160" s="3"/>
      <c r="H160" s="149"/>
      <c r="I160" s="149"/>
      <c r="J160" s="3"/>
      <c r="K160" s="3"/>
      <c r="L160" s="149"/>
      <c r="M160" s="149"/>
      <c r="N160" s="149"/>
      <c r="O160" s="149">
        <f t="shared" si="49"/>
        <v>0</v>
      </c>
      <c r="P160" s="230"/>
      <c r="Q160" s="74"/>
      <c r="R160" s="74">
        <f t="shared" si="50"/>
        <v>0</v>
      </c>
    </row>
    <row r="161" spans="1:42" s="21" customFormat="1" x14ac:dyDescent="0.25">
      <c r="A161" s="71" t="s">
        <v>63</v>
      </c>
      <c r="B161" s="74">
        <v>0</v>
      </c>
      <c r="C161" s="93">
        <v>0</v>
      </c>
      <c r="D161" s="14">
        <v>0</v>
      </c>
      <c r="E161" s="16">
        <f t="shared" si="48"/>
        <v>0</v>
      </c>
      <c r="F161" s="16">
        <f t="shared" si="40"/>
        <v>0</v>
      </c>
      <c r="G161" s="3">
        <v>0</v>
      </c>
      <c r="H161" s="149">
        <f>IF(ISBLANK(E161),"",E161)</f>
        <v>0</v>
      </c>
      <c r="I161" s="149">
        <v>0</v>
      </c>
      <c r="J161" s="3"/>
      <c r="K161" s="149">
        <v>0</v>
      </c>
      <c r="L161" s="149">
        <v>0</v>
      </c>
      <c r="M161" s="149">
        <v>0</v>
      </c>
      <c r="N161" s="149">
        <f>IF(ISBLANK(K161),"",K161)</f>
        <v>0</v>
      </c>
      <c r="O161" s="149">
        <f t="shared" si="49"/>
        <v>0</v>
      </c>
      <c r="P161" s="230"/>
      <c r="Q161" s="74"/>
      <c r="R161" s="74">
        <f t="shared" si="50"/>
        <v>0</v>
      </c>
    </row>
    <row r="162" spans="1:42" s="21" customFormat="1" x14ac:dyDescent="0.25">
      <c r="A162" s="89" t="s">
        <v>135</v>
      </c>
      <c r="B162" s="91">
        <v>281.39999999999998</v>
      </c>
      <c r="C162" s="101">
        <v>279.71477028140748</v>
      </c>
      <c r="D162" s="26">
        <v>225.1</v>
      </c>
      <c r="E162" s="27">
        <f t="shared" si="48"/>
        <v>213.8</v>
      </c>
      <c r="F162" s="27">
        <f t="shared" si="40"/>
        <v>11.299999999999983</v>
      </c>
      <c r="G162" s="28">
        <f>IFERROR(((+E162-B162)/B162),0)</f>
        <v>-0.24022743425728491</v>
      </c>
      <c r="H162" s="156">
        <v>211.6</v>
      </c>
      <c r="I162" s="156">
        <v>0</v>
      </c>
      <c r="J162" s="28">
        <f>(H162-E162)/E162</f>
        <v>-1.0289990645463128E-2</v>
      </c>
      <c r="K162" s="156">
        <v>0</v>
      </c>
      <c r="L162" s="156">
        <v>0</v>
      </c>
      <c r="M162" s="156">
        <v>0</v>
      </c>
      <c r="N162" s="156">
        <v>211.6</v>
      </c>
      <c r="O162" s="156">
        <f t="shared" si="49"/>
        <v>211.6</v>
      </c>
      <c r="P162" s="230">
        <f t="shared" si="41"/>
        <v>0</v>
      </c>
      <c r="Q162" s="74">
        <f t="shared" si="42"/>
        <v>0</v>
      </c>
      <c r="R162" s="74">
        <f t="shared" si="50"/>
        <v>211.6</v>
      </c>
    </row>
    <row r="163" spans="1:42" s="21" customFormat="1" x14ac:dyDescent="0.25">
      <c r="A163" s="87" t="s">
        <v>136</v>
      </c>
      <c r="B163" s="91">
        <v>560.6</v>
      </c>
      <c r="C163" s="101">
        <v>557.24271577738818</v>
      </c>
      <c r="D163" s="26">
        <v>546.9</v>
      </c>
      <c r="E163" s="27">
        <f t="shared" si="48"/>
        <v>519.6</v>
      </c>
      <c r="F163" s="27">
        <f t="shared" si="40"/>
        <v>27.299999999999955</v>
      </c>
      <c r="G163" s="28">
        <f>IFERROR(((+E163-B163)/B163),0)</f>
        <v>-7.3135925793792356E-2</v>
      </c>
      <c r="H163" s="156">
        <v>514.4</v>
      </c>
      <c r="I163" s="156">
        <v>0</v>
      </c>
      <c r="J163" s="28">
        <f>(H163-E163)/E163</f>
        <v>-1.0007698229407324E-2</v>
      </c>
      <c r="K163" s="156">
        <v>0</v>
      </c>
      <c r="L163" s="156">
        <v>485.8</v>
      </c>
      <c r="M163" s="156">
        <v>0</v>
      </c>
      <c r="N163" s="156">
        <v>514.4</v>
      </c>
      <c r="O163" s="156">
        <f t="shared" si="49"/>
        <v>514.4</v>
      </c>
      <c r="P163" s="230">
        <f t="shared" si="41"/>
        <v>0</v>
      </c>
      <c r="Q163" s="74">
        <f t="shared" si="42"/>
        <v>0</v>
      </c>
      <c r="R163" s="74">
        <f t="shared" si="50"/>
        <v>514.4</v>
      </c>
    </row>
    <row r="164" spans="1:42" s="21" customFormat="1" x14ac:dyDescent="0.25">
      <c r="A164" s="87" t="s">
        <v>137</v>
      </c>
      <c r="B164" s="91">
        <v>315.8</v>
      </c>
      <c r="C164" s="101">
        <v>313.90875783535353</v>
      </c>
      <c r="D164" s="26">
        <v>308.10000000000002</v>
      </c>
      <c r="E164" s="27">
        <f t="shared" si="48"/>
        <v>292.7</v>
      </c>
      <c r="F164" s="27">
        <f t="shared" si="40"/>
        <v>15.400000000000034</v>
      </c>
      <c r="G164" s="28">
        <f>IFERROR(((+E164-B164)/B164),0)</f>
        <v>-7.3147561747941806E-2</v>
      </c>
      <c r="H164" s="156">
        <v>289.7</v>
      </c>
      <c r="I164" s="156">
        <v>0</v>
      </c>
      <c r="J164" s="28">
        <f>(H164-E164)/E164</f>
        <v>-1.0249402118209771E-2</v>
      </c>
      <c r="K164" s="156">
        <v>0</v>
      </c>
      <c r="L164" s="156">
        <v>273.7</v>
      </c>
      <c r="M164" s="156">
        <v>0</v>
      </c>
      <c r="N164" s="156">
        <v>289.7</v>
      </c>
      <c r="O164" s="156">
        <f t="shared" si="49"/>
        <v>289.7</v>
      </c>
      <c r="P164" s="230">
        <f t="shared" si="41"/>
        <v>0</v>
      </c>
      <c r="Q164" s="74">
        <f t="shared" si="42"/>
        <v>0</v>
      </c>
      <c r="R164" s="74">
        <f t="shared" si="50"/>
        <v>289.7</v>
      </c>
    </row>
    <row r="165" spans="1:42" s="21" customFormat="1" ht="16.5" thickBot="1" x14ac:dyDescent="0.3">
      <c r="A165" s="87" t="s">
        <v>138</v>
      </c>
      <c r="B165" s="91">
        <v>65.900000000000006</v>
      </c>
      <c r="C165" s="101">
        <v>65.50534243619316</v>
      </c>
      <c r="D165" s="26">
        <v>64.3</v>
      </c>
      <c r="E165" s="27">
        <f t="shared" si="48"/>
        <v>61.1</v>
      </c>
      <c r="F165" s="27">
        <f t="shared" si="40"/>
        <v>3.1999999999999957</v>
      </c>
      <c r="G165" s="28">
        <f>IFERROR(((+E165-B165)/B165),0)</f>
        <v>-7.2837632776934808E-2</v>
      </c>
      <c r="H165" s="156">
        <v>60.4</v>
      </c>
      <c r="I165" s="156">
        <v>0</v>
      </c>
      <c r="J165" s="28">
        <f>(H165-E165)/E165</f>
        <v>-1.145662847790512E-2</v>
      </c>
      <c r="K165" s="156">
        <v>0</v>
      </c>
      <c r="L165" s="156">
        <v>57.1</v>
      </c>
      <c r="M165" s="156">
        <v>0</v>
      </c>
      <c r="N165" s="156">
        <v>60.4</v>
      </c>
      <c r="O165" s="156">
        <f t="shared" si="49"/>
        <v>60.4</v>
      </c>
      <c r="P165" s="230">
        <f t="shared" si="41"/>
        <v>0</v>
      </c>
      <c r="Q165" s="74">
        <f t="shared" si="42"/>
        <v>0</v>
      </c>
      <c r="R165" s="74">
        <f t="shared" si="50"/>
        <v>60.4</v>
      </c>
    </row>
    <row r="166" spans="1:42" s="21" customFormat="1" ht="16.5" thickBot="1" x14ac:dyDescent="0.3">
      <c r="A166" s="81" t="s">
        <v>139</v>
      </c>
      <c r="B166" s="15">
        <f>SUM(B158:B165)</f>
        <v>31751.600000000002</v>
      </c>
      <c r="C166" s="17">
        <f>SUM(C158:C165)</f>
        <v>31561.448116798645</v>
      </c>
      <c r="D166" s="15">
        <f>SUM(D158:D165)</f>
        <v>30933.199999999997</v>
      </c>
      <c r="E166" s="15">
        <f>SUM(E158:E165)</f>
        <v>29375.499999999996</v>
      </c>
      <c r="F166" s="17">
        <f t="shared" si="40"/>
        <v>1557.7000000000007</v>
      </c>
      <c r="G166" s="6">
        <f>IFERROR(((+E166-B166)/B166),0)</f>
        <v>-7.4834024112170897E-2</v>
      </c>
      <c r="H166" s="141">
        <f>SUM(H158:H165)</f>
        <v>29090.9</v>
      </c>
      <c r="I166" s="141">
        <f>SUM(I158:I165)</f>
        <v>29090.899999999998</v>
      </c>
      <c r="J166" s="20">
        <f>(H166-E166)/E166</f>
        <v>-9.688345730285269E-3</v>
      </c>
      <c r="K166" s="20">
        <f>(I166-E166)/E166</f>
        <v>-9.6883457302853939E-3</v>
      </c>
      <c r="L166" s="141">
        <f>SUM(L158:L165)</f>
        <v>29072.6</v>
      </c>
      <c r="M166" s="142">
        <f>SUM(M158:M165)</f>
        <v>29072.6</v>
      </c>
      <c r="N166" s="141">
        <f>SUM(N158:N165)</f>
        <v>29090.9</v>
      </c>
      <c r="O166" s="141">
        <f>SUM(O158:O165)</f>
        <v>29090.9</v>
      </c>
      <c r="P166" s="232">
        <f t="shared" si="41"/>
        <v>0</v>
      </c>
      <c r="Q166" s="124">
        <f t="shared" si="42"/>
        <v>0</v>
      </c>
      <c r="R166" s="141">
        <f>SUM(R158:R165)</f>
        <v>29090.9</v>
      </c>
    </row>
    <row r="167" spans="1:42" s="21" customFormat="1" x14ac:dyDescent="0.25">
      <c r="A167" s="71"/>
      <c r="B167" s="74"/>
      <c r="C167" s="93"/>
      <c r="D167" s="14"/>
      <c r="E167" s="16"/>
      <c r="F167" s="16"/>
      <c r="G167" s="7"/>
      <c r="H167" s="149" t="str">
        <f>IF(ISBLANK(E167),"",E167)</f>
        <v/>
      </c>
      <c r="I167" s="149"/>
      <c r="J167" s="3"/>
      <c r="K167" s="3"/>
      <c r="L167" s="149" t="s">
        <v>230</v>
      </c>
      <c r="M167" s="149" t="s">
        <v>230</v>
      </c>
      <c r="N167" s="149" t="str">
        <f>IF(ISBLANK(K167),"",K167)</f>
        <v/>
      </c>
      <c r="O167" s="149" t="str">
        <f>IF(ISBLANK(L167),"",L167)</f>
        <v/>
      </c>
      <c r="P167" s="230"/>
      <c r="Q167" s="74"/>
      <c r="R167" s="79"/>
    </row>
    <row r="168" spans="1:42" s="21" customFormat="1" x14ac:dyDescent="0.25">
      <c r="A168" s="69" t="s">
        <v>140</v>
      </c>
      <c r="B168" s="74"/>
      <c r="C168" s="93"/>
      <c r="D168" s="14"/>
      <c r="E168" s="16"/>
      <c r="F168" s="16"/>
      <c r="G168" s="7"/>
      <c r="H168" s="149" t="str">
        <f>IF(ISBLANK(E168),"",E168)</f>
        <v/>
      </c>
      <c r="I168" s="149"/>
      <c r="J168" s="3"/>
      <c r="K168" s="3"/>
      <c r="L168" s="149" t="s">
        <v>230</v>
      </c>
      <c r="M168" s="149" t="s">
        <v>230</v>
      </c>
      <c r="N168" s="149" t="str">
        <f>IF(ISBLANK(K168),"",K168)</f>
        <v/>
      </c>
      <c r="O168" s="149" t="str">
        <f>IF(ISBLANK(L168),"",L168)</f>
        <v/>
      </c>
      <c r="P168" s="230"/>
      <c r="Q168" s="74"/>
      <c r="R168" s="74"/>
    </row>
    <row r="169" spans="1:42" s="21" customFormat="1" x14ac:dyDescent="0.25">
      <c r="A169" s="82" t="s">
        <v>133</v>
      </c>
      <c r="B169" s="106">
        <v>17345.599999999999</v>
      </c>
      <c r="C169" s="100">
        <v>17241.72181731763</v>
      </c>
      <c r="D169" s="29">
        <v>16965.900000000001</v>
      </c>
      <c r="E169" s="30">
        <f t="shared" ref="E169:E177" si="51">ROUND(D169*0.95,1)</f>
        <v>16117.6</v>
      </c>
      <c r="F169" s="30">
        <f t="shared" si="40"/>
        <v>848.30000000000109</v>
      </c>
      <c r="G169" s="19">
        <f>IFERROR(((+E169-B169)/B169),0)</f>
        <v>-7.0796052024720862E-2</v>
      </c>
      <c r="H169" s="155">
        <f>ROUND('Formula I&amp;G'!C17/1000,1)</f>
        <v>15996.9</v>
      </c>
      <c r="I169" s="155">
        <f>H169+SUM(H173:H176)</f>
        <v>17186.099999999999</v>
      </c>
      <c r="J169" s="19">
        <f>(H169-E169)/E169</f>
        <v>-7.4887079962277711E-3</v>
      </c>
      <c r="K169" s="19">
        <f>(I169-E169)/E169</f>
        <v>6.6293989179530333E-2</v>
      </c>
      <c r="L169" s="155">
        <v>16198.5</v>
      </c>
      <c r="M169" s="155">
        <f>L169+SUM(L173:L176)</f>
        <v>17321.8</v>
      </c>
      <c r="N169" s="155">
        <v>15996.9</v>
      </c>
      <c r="O169" s="155">
        <f>(1-$T$3)*'Formula I&amp;G'!C17/1000</f>
        <v>15996.9</v>
      </c>
      <c r="P169" s="230">
        <f t="shared" si="41"/>
        <v>0</v>
      </c>
      <c r="Q169" s="74">
        <f t="shared" si="42"/>
        <v>0</v>
      </c>
      <c r="R169" s="106">
        <f>O169</f>
        <v>15996.9</v>
      </c>
    </row>
    <row r="170" spans="1:42" s="21" customFormat="1" x14ac:dyDescent="0.25">
      <c r="A170" s="83" t="s">
        <v>34</v>
      </c>
      <c r="B170" s="74">
        <v>1898.5</v>
      </c>
      <c r="C170" s="93">
        <v>1887.1303886967025</v>
      </c>
      <c r="D170" s="14">
        <v>1852.3</v>
      </c>
      <c r="E170" s="16">
        <f t="shared" si="51"/>
        <v>1759.7</v>
      </c>
      <c r="F170" s="16">
        <f t="shared" si="40"/>
        <v>92.599999999999909</v>
      </c>
      <c r="G170" s="3">
        <f>IFERROR(((+E170-B170)/B170),0)</f>
        <v>-7.3110350276534078E-2</v>
      </c>
      <c r="H170" s="149">
        <v>1742.1</v>
      </c>
      <c r="I170" s="149">
        <v>1742.1</v>
      </c>
      <c r="J170" s="3">
        <f>(H170-E170)/E170</f>
        <v>-1.0001704836051678E-2</v>
      </c>
      <c r="K170" s="3">
        <f>(I170-E170)/E170</f>
        <v>-1.0001704836051678E-2</v>
      </c>
      <c r="L170" s="149">
        <v>1715.7</v>
      </c>
      <c r="M170" s="149">
        <v>1715.7</v>
      </c>
      <c r="N170" s="149">
        <v>1742.1</v>
      </c>
      <c r="O170" s="149">
        <f t="shared" ref="O170:O177" si="52">(1-$S$3)*N170</f>
        <v>1742.1</v>
      </c>
      <c r="P170" s="230">
        <f t="shared" si="41"/>
        <v>0</v>
      </c>
      <c r="Q170" s="74">
        <f t="shared" si="42"/>
        <v>0</v>
      </c>
      <c r="R170" s="74">
        <f t="shared" ref="R170:R177" si="53">O170</f>
        <v>1742.1</v>
      </c>
    </row>
    <row r="171" spans="1:42" s="21" customFormat="1" x14ac:dyDescent="0.25">
      <c r="A171" s="88" t="s">
        <v>62</v>
      </c>
      <c r="B171" s="74"/>
      <c r="C171" s="93"/>
      <c r="D171" s="14"/>
      <c r="E171" s="16"/>
      <c r="F171" s="16"/>
      <c r="G171" s="3"/>
      <c r="H171" s="149"/>
      <c r="I171" s="149"/>
      <c r="J171" s="3"/>
      <c r="K171" s="3"/>
      <c r="L171" s="149"/>
      <c r="M171" s="149"/>
      <c r="N171" s="149"/>
      <c r="O171" s="149">
        <f t="shared" si="52"/>
        <v>0</v>
      </c>
      <c r="P171" s="230"/>
      <c r="Q171" s="74"/>
      <c r="R171" s="74">
        <f t="shared" si="53"/>
        <v>0</v>
      </c>
    </row>
    <row r="172" spans="1:42" s="21" customFormat="1" x14ac:dyDescent="0.25">
      <c r="A172" s="83" t="s">
        <v>141</v>
      </c>
      <c r="B172" s="74">
        <v>78.2</v>
      </c>
      <c r="C172" s="93">
        <v>77.731681009261081</v>
      </c>
      <c r="D172" s="14">
        <v>77.099999999999994</v>
      </c>
      <c r="E172" s="16">
        <f t="shared" si="51"/>
        <v>73.2</v>
      </c>
      <c r="F172" s="16">
        <f t="shared" si="40"/>
        <v>3.8999999999999915</v>
      </c>
      <c r="G172" s="3">
        <f t="shared" ref="G172:G178" si="54">IFERROR(((+E172-B172)/B172),0)</f>
        <v>-6.3938618925831206E-2</v>
      </c>
      <c r="H172" s="149">
        <v>72.400000000000006</v>
      </c>
      <c r="I172" s="149">
        <v>72.400000000000006</v>
      </c>
      <c r="J172" s="3">
        <f>(H172-E172)/E172</f>
        <v>-1.092896174863384E-2</v>
      </c>
      <c r="K172" s="3">
        <f>(I172-E172)/E172</f>
        <v>-1.092896174863384E-2</v>
      </c>
      <c r="L172" s="149">
        <v>0</v>
      </c>
      <c r="M172" s="149">
        <v>0</v>
      </c>
      <c r="N172" s="149">
        <v>72.400000000000006</v>
      </c>
      <c r="O172" s="149">
        <f t="shared" si="52"/>
        <v>72.400000000000006</v>
      </c>
      <c r="P172" s="230">
        <f t="shared" si="41"/>
        <v>0</v>
      </c>
      <c r="Q172" s="74">
        <f t="shared" si="42"/>
        <v>0</v>
      </c>
      <c r="R172" s="74">
        <f t="shared" si="53"/>
        <v>72.400000000000006</v>
      </c>
    </row>
    <row r="173" spans="1:42" s="252" customFormat="1" x14ac:dyDescent="0.25">
      <c r="A173" s="245" t="s">
        <v>142</v>
      </c>
      <c r="B173" s="246">
        <v>124.7</v>
      </c>
      <c r="C173" s="253">
        <v>123.95320488305443</v>
      </c>
      <c r="D173" s="248">
        <v>60.8</v>
      </c>
      <c r="E173" s="254">
        <f t="shared" si="51"/>
        <v>57.8</v>
      </c>
      <c r="F173" s="254">
        <f t="shared" si="40"/>
        <v>3</v>
      </c>
      <c r="G173" s="194">
        <f t="shared" si="54"/>
        <v>-0.5364875701684042</v>
      </c>
      <c r="H173" s="159">
        <v>57.2</v>
      </c>
      <c r="I173" s="159">
        <v>0</v>
      </c>
      <c r="J173" s="194">
        <f>(H173-E173)/E173</f>
        <v>-1.0380622837370145E-2</v>
      </c>
      <c r="K173" s="159">
        <v>0</v>
      </c>
      <c r="L173" s="159">
        <v>54</v>
      </c>
      <c r="M173" s="159">
        <v>0</v>
      </c>
      <c r="N173" s="159">
        <v>57.2</v>
      </c>
      <c r="O173" s="159">
        <f t="shared" si="52"/>
        <v>57.2</v>
      </c>
      <c r="P173" s="251">
        <f t="shared" si="41"/>
        <v>0</v>
      </c>
      <c r="Q173" s="246">
        <f t="shared" si="42"/>
        <v>0</v>
      </c>
      <c r="R173" s="74">
        <f t="shared" si="53"/>
        <v>57.2</v>
      </c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</row>
    <row r="174" spans="1:42" s="252" customFormat="1" x14ac:dyDescent="0.25">
      <c r="A174" s="255" t="s">
        <v>143</v>
      </c>
      <c r="B174" s="246">
        <v>141</v>
      </c>
      <c r="C174" s="253">
        <v>140.15558852053468</v>
      </c>
      <c r="D174" s="248">
        <v>137.5</v>
      </c>
      <c r="E174" s="254">
        <f t="shared" si="51"/>
        <v>130.6</v>
      </c>
      <c r="F174" s="254">
        <f t="shared" si="40"/>
        <v>6.9000000000000057</v>
      </c>
      <c r="G174" s="194">
        <f t="shared" si="54"/>
        <v>-7.3758865248226987E-2</v>
      </c>
      <c r="H174" s="159">
        <v>129.19999999999999</v>
      </c>
      <c r="I174" s="159">
        <v>0</v>
      </c>
      <c r="J174" s="194">
        <f>(H174-E174)/E174</f>
        <v>-1.071975497702914E-2</v>
      </c>
      <c r="K174" s="159">
        <v>0</v>
      </c>
      <c r="L174" s="159">
        <v>122.1</v>
      </c>
      <c r="M174" s="159">
        <v>0</v>
      </c>
      <c r="N174" s="159">
        <v>129.19999999999999</v>
      </c>
      <c r="O174" s="159">
        <f t="shared" si="52"/>
        <v>129.19999999999999</v>
      </c>
      <c r="P174" s="251">
        <f t="shared" si="41"/>
        <v>0</v>
      </c>
      <c r="Q174" s="246">
        <f t="shared" si="42"/>
        <v>0</v>
      </c>
      <c r="R174" s="74">
        <f t="shared" si="53"/>
        <v>129.19999999999999</v>
      </c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</row>
    <row r="175" spans="1:42" s="21" customFormat="1" x14ac:dyDescent="0.25">
      <c r="A175" s="89" t="s">
        <v>144</v>
      </c>
      <c r="B175" s="91">
        <v>211.1</v>
      </c>
      <c r="C175" s="101">
        <v>209.83577827436076</v>
      </c>
      <c r="D175" s="26">
        <v>205.9</v>
      </c>
      <c r="E175" s="27">
        <f t="shared" si="51"/>
        <v>195.6</v>
      </c>
      <c r="F175" s="27">
        <f t="shared" si="40"/>
        <v>10.300000000000011</v>
      </c>
      <c r="G175" s="28">
        <f t="shared" si="54"/>
        <v>-7.3424917100900045E-2</v>
      </c>
      <c r="H175" s="156">
        <v>193.6</v>
      </c>
      <c r="I175" s="156">
        <v>0</v>
      </c>
      <c r="J175" s="28">
        <f>(H175-E175)/E175</f>
        <v>-1.0224948875255624E-2</v>
      </c>
      <c r="K175" s="156">
        <v>0</v>
      </c>
      <c r="L175" s="156">
        <v>182.9</v>
      </c>
      <c r="M175" s="156">
        <v>0</v>
      </c>
      <c r="N175" s="156">
        <v>193.6</v>
      </c>
      <c r="O175" s="156">
        <f t="shared" si="52"/>
        <v>193.6</v>
      </c>
      <c r="P175" s="230">
        <f t="shared" si="41"/>
        <v>0</v>
      </c>
      <c r="Q175" s="74">
        <f t="shared" si="42"/>
        <v>0</v>
      </c>
      <c r="R175" s="74">
        <f t="shared" si="53"/>
        <v>193.6</v>
      </c>
    </row>
    <row r="176" spans="1:42" s="21" customFormat="1" x14ac:dyDescent="0.25">
      <c r="A176" s="89" t="s">
        <v>145</v>
      </c>
      <c r="B176" s="91">
        <v>881.9</v>
      </c>
      <c r="C176" s="101">
        <v>876.61853557630866</v>
      </c>
      <c r="D176" s="26">
        <v>860.4</v>
      </c>
      <c r="E176" s="27">
        <f t="shared" si="51"/>
        <v>817.4</v>
      </c>
      <c r="F176" s="27">
        <f t="shared" si="40"/>
        <v>43</v>
      </c>
      <c r="G176" s="28">
        <f t="shared" si="54"/>
        <v>-7.313754393922213E-2</v>
      </c>
      <c r="H176" s="156">
        <v>809.2</v>
      </c>
      <c r="I176" s="156">
        <v>0</v>
      </c>
      <c r="J176" s="28">
        <f>(H176-E176)/E176</f>
        <v>-1.0031808172253404E-2</v>
      </c>
      <c r="K176" s="156">
        <v>0</v>
      </c>
      <c r="L176" s="156">
        <v>764.3</v>
      </c>
      <c r="M176" s="156">
        <v>0</v>
      </c>
      <c r="N176" s="156">
        <v>809.2</v>
      </c>
      <c r="O176" s="156">
        <f t="shared" si="52"/>
        <v>809.2</v>
      </c>
      <c r="P176" s="230">
        <f t="shared" si="41"/>
        <v>0</v>
      </c>
      <c r="Q176" s="74">
        <f t="shared" si="42"/>
        <v>0</v>
      </c>
      <c r="R176" s="74">
        <f t="shared" si="53"/>
        <v>809.2</v>
      </c>
    </row>
    <row r="177" spans="1:42" s="21" customFormat="1" ht="16.5" thickBot="1" x14ac:dyDescent="0.3">
      <c r="A177" s="83" t="s">
        <v>146</v>
      </c>
      <c r="B177" s="74">
        <v>0</v>
      </c>
      <c r="C177" s="93">
        <v>0</v>
      </c>
      <c r="D177" s="14">
        <v>0</v>
      </c>
      <c r="E177" s="16">
        <f t="shared" si="51"/>
        <v>0</v>
      </c>
      <c r="F177" s="16">
        <f t="shared" si="40"/>
        <v>0</v>
      </c>
      <c r="G177" s="3">
        <f t="shared" si="54"/>
        <v>0</v>
      </c>
      <c r="H177" s="149">
        <f>IF(ISBLANK(E177),"",E177)</f>
        <v>0</v>
      </c>
      <c r="I177" s="149">
        <v>0</v>
      </c>
      <c r="J177" s="149">
        <f>IF(ISBLANK(G177),"",G177)</f>
        <v>0</v>
      </c>
      <c r="K177" s="149">
        <v>0</v>
      </c>
      <c r="L177" s="149">
        <v>0</v>
      </c>
      <c r="M177" s="149">
        <v>0</v>
      </c>
      <c r="N177" s="149">
        <f>IF(ISBLANK(K177),"",K177)</f>
        <v>0</v>
      </c>
      <c r="O177" s="149">
        <f t="shared" si="52"/>
        <v>0</v>
      </c>
      <c r="P177" s="230"/>
      <c r="Q177" s="74"/>
      <c r="R177" s="114">
        <f t="shared" si="53"/>
        <v>0</v>
      </c>
    </row>
    <row r="178" spans="1:42" s="21" customFormat="1" ht="16.5" thickBot="1" x14ac:dyDescent="0.3">
      <c r="A178" s="81" t="s">
        <v>147</v>
      </c>
      <c r="B178" s="15">
        <f>SUM(B169:B177)</f>
        <v>20681</v>
      </c>
      <c r="C178" s="17">
        <f>SUM(C169:C177)</f>
        <v>20557.146994277853</v>
      </c>
      <c r="D178" s="15">
        <f>SUM(D169:D177)</f>
        <v>20159.900000000001</v>
      </c>
      <c r="E178" s="15">
        <f>SUM(E169:E177)</f>
        <v>19151.899999999998</v>
      </c>
      <c r="F178" s="17">
        <f t="shared" si="40"/>
        <v>1008.0000000000036</v>
      </c>
      <c r="G178" s="6">
        <f t="shared" si="54"/>
        <v>-7.3937430491755829E-2</v>
      </c>
      <c r="H178" s="141">
        <f>SUM(H169:H177)</f>
        <v>19000.600000000002</v>
      </c>
      <c r="I178" s="141">
        <f>SUM(I169:I177)</f>
        <v>19000.599999999999</v>
      </c>
      <c r="J178" s="20">
        <f>(H178-E178)/E178</f>
        <v>-7.899999477858367E-3</v>
      </c>
      <c r="K178" s="20">
        <f>(I178-E178)/E178</f>
        <v>-7.8999994778585561E-3</v>
      </c>
      <c r="L178" s="141">
        <f>SUM(L169:L177)</f>
        <v>19037.5</v>
      </c>
      <c r="M178" s="142">
        <f>SUM(M169:M177)</f>
        <v>19037.5</v>
      </c>
      <c r="N178" s="141">
        <f>SUM(N169:N177)</f>
        <v>19000.600000000002</v>
      </c>
      <c r="O178" s="141">
        <f>SUM(O169:O177)</f>
        <v>19000.600000000002</v>
      </c>
      <c r="P178" s="232">
        <f t="shared" si="41"/>
        <v>0</v>
      </c>
      <c r="Q178" s="124">
        <f t="shared" si="42"/>
        <v>0</v>
      </c>
      <c r="R178" s="141">
        <f>SUM(R169:R177)</f>
        <v>19000.600000000002</v>
      </c>
    </row>
    <row r="179" spans="1:42" s="21" customFormat="1" x14ac:dyDescent="0.25">
      <c r="A179" s="71"/>
      <c r="B179" s="74"/>
      <c r="C179" s="93"/>
      <c r="D179" s="14"/>
      <c r="E179" s="16"/>
      <c r="F179" s="16"/>
      <c r="G179" s="7"/>
      <c r="H179" s="149" t="str">
        <f>IF(ISBLANK(E179),"",E179)</f>
        <v/>
      </c>
      <c r="I179" s="149" t="s">
        <v>230</v>
      </c>
      <c r="J179" s="3"/>
      <c r="K179" s="3"/>
      <c r="L179" s="149" t="s">
        <v>230</v>
      </c>
      <c r="M179" s="149" t="s">
        <v>230</v>
      </c>
      <c r="N179" s="149" t="str">
        <f>IF(ISBLANK(K179),"",K179)</f>
        <v/>
      </c>
      <c r="O179" s="149" t="str">
        <f>IF(ISBLANK(L179),"",L179)</f>
        <v/>
      </c>
      <c r="P179" s="230"/>
      <c r="Q179" s="74"/>
      <c r="R179" s="79"/>
    </row>
    <row r="180" spans="1:42" s="21" customFormat="1" x14ac:dyDescent="0.25">
      <c r="A180" s="69" t="s">
        <v>148</v>
      </c>
      <c r="B180" s="74"/>
      <c r="C180" s="93"/>
      <c r="D180" s="14"/>
      <c r="E180" s="16"/>
      <c r="F180" s="16"/>
      <c r="G180" s="7"/>
      <c r="H180" s="149" t="str">
        <f>IF(ISBLANK(E180),"",E180)</f>
        <v/>
      </c>
      <c r="I180" s="149" t="s">
        <v>230</v>
      </c>
      <c r="J180" s="3"/>
      <c r="K180" s="3"/>
      <c r="L180" s="149" t="s">
        <v>230</v>
      </c>
      <c r="M180" s="149" t="s">
        <v>230</v>
      </c>
      <c r="N180" s="149" t="str">
        <f>IF(ISBLANK(K180),"",K180)</f>
        <v/>
      </c>
      <c r="O180" s="149" t="str">
        <f>IF(ISBLANK(L180),"",L180)</f>
        <v/>
      </c>
      <c r="P180" s="230"/>
      <c r="Q180" s="74"/>
      <c r="R180" s="74"/>
      <c r="T180" s="21">
        <f>18*34/39</f>
        <v>15.692307692307692</v>
      </c>
    </row>
    <row r="181" spans="1:42" s="21" customFormat="1" x14ac:dyDescent="0.25">
      <c r="A181" s="82" t="s">
        <v>53</v>
      </c>
      <c r="B181" s="74">
        <v>27806.5</v>
      </c>
      <c r="C181" s="93">
        <v>27639.974270895371</v>
      </c>
      <c r="D181" s="14">
        <v>27163.9</v>
      </c>
      <c r="E181" s="16">
        <f t="shared" ref="E181:E199" si="55">ROUND(D181*0.95,1)</f>
        <v>25805.7</v>
      </c>
      <c r="F181" s="16">
        <f t="shared" si="40"/>
        <v>1358.2000000000007</v>
      </c>
      <c r="G181" s="3">
        <f t="shared" ref="G181:G190" si="56">IFERROR(((+E181-B181)/B181),0)</f>
        <v>-7.1954399151277548E-2</v>
      </c>
      <c r="H181" s="155">
        <f>ROUND('Formula I&amp;G'!C14/1000,1)</f>
        <v>25603.1</v>
      </c>
      <c r="I181" s="155">
        <f>H181+SUM(H193:H196)</f>
        <v>26715.1</v>
      </c>
      <c r="J181" s="19">
        <f t="shared" ref="J181:J187" si="57">(H181-E181)/E181</f>
        <v>-7.8509786597535502E-3</v>
      </c>
      <c r="K181" s="19">
        <f>(I181-E181)/E181</f>
        <v>3.524027637304928E-2</v>
      </c>
      <c r="L181" s="155">
        <v>25915.7</v>
      </c>
      <c r="M181" s="155">
        <f>L181+SUM(L193:L196)</f>
        <v>26966.2</v>
      </c>
      <c r="N181" s="155">
        <v>25603.1</v>
      </c>
      <c r="O181" s="155">
        <f>(1-$T$3)*'Formula I&amp;G'!C14/1000</f>
        <v>25603.1</v>
      </c>
      <c r="P181" s="230">
        <f t="shared" si="41"/>
        <v>0</v>
      </c>
      <c r="Q181" s="74">
        <f t="shared" si="42"/>
        <v>0</v>
      </c>
      <c r="R181" s="106">
        <f>O181</f>
        <v>25603.1</v>
      </c>
    </row>
    <row r="182" spans="1:42" s="21" customFormat="1" x14ac:dyDescent="0.25">
      <c r="A182" s="83" t="s">
        <v>34</v>
      </c>
      <c r="B182" s="74">
        <v>2144.1</v>
      </c>
      <c r="C182" s="93">
        <v>2131.2595556516198</v>
      </c>
      <c r="D182" s="14">
        <v>2091.9</v>
      </c>
      <c r="E182" s="16">
        <f t="shared" si="55"/>
        <v>1987.3</v>
      </c>
      <c r="F182" s="16">
        <f t="shared" si="40"/>
        <v>104.60000000000014</v>
      </c>
      <c r="G182" s="3">
        <f t="shared" si="56"/>
        <v>-7.31309174012406E-2</v>
      </c>
      <c r="H182" s="149">
        <v>1967.4</v>
      </c>
      <c r="I182" s="149">
        <v>1967.4</v>
      </c>
      <c r="J182" s="3">
        <f t="shared" si="57"/>
        <v>-1.0013586272832418E-2</v>
      </c>
      <c r="K182" s="3">
        <f>(I182-E182)/E182</f>
        <v>-1.0013586272832418E-2</v>
      </c>
      <c r="L182" s="149">
        <v>1937.6</v>
      </c>
      <c r="M182" s="149">
        <v>1937.6</v>
      </c>
      <c r="N182" s="149">
        <v>1967.4</v>
      </c>
      <c r="O182" s="149">
        <f>(1-$S$3)*N182</f>
        <v>1967.4</v>
      </c>
      <c r="P182" s="230">
        <f t="shared" si="41"/>
        <v>0</v>
      </c>
      <c r="Q182" s="74">
        <f t="shared" si="42"/>
        <v>0</v>
      </c>
      <c r="R182" s="74">
        <f t="shared" ref="R182:R199" si="58">O182</f>
        <v>1967.4</v>
      </c>
    </row>
    <row r="183" spans="1:42" s="21" customFormat="1" x14ac:dyDescent="0.25">
      <c r="A183" s="83" t="s">
        <v>149</v>
      </c>
      <c r="B183" s="74">
        <v>1112.5999999999999</v>
      </c>
      <c r="C183" s="93">
        <v>1105.9369346662897</v>
      </c>
      <c r="D183" s="14">
        <v>1085.5999999999999</v>
      </c>
      <c r="E183" s="16">
        <f t="shared" si="55"/>
        <v>1031.3</v>
      </c>
      <c r="F183" s="16">
        <f t="shared" si="40"/>
        <v>54.299999999999955</v>
      </c>
      <c r="G183" s="3">
        <f t="shared" si="56"/>
        <v>-7.307208340823293E-2</v>
      </c>
      <c r="H183" s="149">
        <v>1020.9</v>
      </c>
      <c r="I183" s="149">
        <v>1020.9</v>
      </c>
      <c r="J183" s="3">
        <f t="shared" si="57"/>
        <v>-1.0084359546203799E-2</v>
      </c>
      <c r="K183" s="3">
        <f>(I183-E183)/E183</f>
        <v>-1.0084359546203799E-2</v>
      </c>
      <c r="L183" s="149">
        <v>1005.5</v>
      </c>
      <c r="M183" s="149">
        <v>1005.5</v>
      </c>
      <c r="N183" s="149">
        <v>1020.9</v>
      </c>
      <c r="O183" s="149">
        <f>(1-$S$3)*N183</f>
        <v>1020.9</v>
      </c>
      <c r="P183" s="230">
        <f t="shared" si="41"/>
        <v>0</v>
      </c>
      <c r="Q183" s="74">
        <f t="shared" si="42"/>
        <v>0</v>
      </c>
      <c r="R183" s="74">
        <f t="shared" si="58"/>
        <v>1020.9</v>
      </c>
    </row>
    <row r="184" spans="1:42" s="21" customFormat="1" x14ac:dyDescent="0.25">
      <c r="A184" s="69" t="s">
        <v>150</v>
      </c>
      <c r="B184" s="74">
        <v>12042</v>
      </c>
      <c r="C184" s="93">
        <v>11969.883666413323</v>
      </c>
      <c r="D184" s="14">
        <v>11722</v>
      </c>
      <c r="E184" s="16">
        <f t="shared" si="55"/>
        <v>11135.9</v>
      </c>
      <c r="F184" s="16">
        <f t="shared" si="40"/>
        <v>586.10000000000036</v>
      </c>
      <c r="G184" s="3">
        <f t="shared" si="56"/>
        <v>-7.5244975917621693E-2</v>
      </c>
      <c r="H184" s="155">
        <f>ROUND('Formula I&amp;G'!C20/1000,1)</f>
        <v>10985.7</v>
      </c>
      <c r="I184" s="155">
        <f>H184+H185+H186+H187</f>
        <v>11166.1</v>
      </c>
      <c r="J184" s="19">
        <f t="shared" si="57"/>
        <v>-1.3487908476189523E-2</v>
      </c>
      <c r="K184" s="19">
        <f>(I184-E184)/E184</f>
        <v>2.7119496403524394E-3</v>
      </c>
      <c r="L184" s="155">
        <v>11057.6</v>
      </c>
      <c r="M184" s="155">
        <f>L184+L185+L186+L187</f>
        <v>11228.1</v>
      </c>
      <c r="N184" s="155">
        <v>10985.7</v>
      </c>
      <c r="O184" s="155">
        <f>(1-$T$3)*'Formula I&amp;G'!C20/1000</f>
        <v>10985.7</v>
      </c>
      <c r="P184" s="230">
        <f t="shared" si="41"/>
        <v>0</v>
      </c>
      <c r="Q184" s="74">
        <f t="shared" si="42"/>
        <v>0</v>
      </c>
      <c r="R184" s="106">
        <f t="shared" si="58"/>
        <v>10985.7</v>
      </c>
    </row>
    <row r="185" spans="1:42" s="21" customFormat="1" x14ac:dyDescent="0.25">
      <c r="A185" s="89" t="s">
        <v>153</v>
      </c>
      <c r="B185" s="91">
        <v>74.599999999999994</v>
      </c>
      <c r="C185" s="101">
        <v>74.153240451289975</v>
      </c>
      <c r="D185" s="26">
        <v>72.8</v>
      </c>
      <c r="E185" s="27">
        <f t="shared" si="55"/>
        <v>69.2</v>
      </c>
      <c r="F185" s="27">
        <f>D185-E185</f>
        <v>3.5999999999999943</v>
      </c>
      <c r="G185" s="28">
        <f t="shared" si="56"/>
        <v>-7.238605898123314E-2</v>
      </c>
      <c r="H185" s="156">
        <v>68.5</v>
      </c>
      <c r="I185" s="156">
        <v>0</v>
      </c>
      <c r="J185" s="28">
        <f t="shared" si="57"/>
        <v>-1.0115606936416225E-2</v>
      </c>
      <c r="K185" s="156">
        <v>0</v>
      </c>
      <c r="L185" s="156">
        <v>64.7</v>
      </c>
      <c r="M185" s="156">
        <v>0</v>
      </c>
      <c r="N185" s="156">
        <v>68.5</v>
      </c>
      <c r="O185" s="156">
        <f>(1-$S$3)*N185</f>
        <v>68.5</v>
      </c>
      <c r="P185" s="230">
        <f t="shared" si="41"/>
        <v>0</v>
      </c>
      <c r="Q185" s="74">
        <f t="shared" si="42"/>
        <v>0</v>
      </c>
      <c r="R185" s="74">
        <f t="shared" si="58"/>
        <v>68.5</v>
      </c>
    </row>
    <row r="186" spans="1:42" s="252" customFormat="1" x14ac:dyDescent="0.25">
      <c r="A186" s="255" t="s">
        <v>154</v>
      </c>
      <c r="B186" s="246">
        <v>60.2</v>
      </c>
      <c r="C186" s="253">
        <v>59.839478219405585</v>
      </c>
      <c r="D186" s="248">
        <v>58.8</v>
      </c>
      <c r="E186" s="254">
        <f t="shared" si="55"/>
        <v>55.9</v>
      </c>
      <c r="F186" s="254">
        <f>D186-E186</f>
        <v>2.8999999999999986</v>
      </c>
      <c r="G186" s="194">
        <f t="shared" si="56"/>
        <v>-7.1428571428571494E-2</v>
      </c>
      <c r="H186" s="159">
        <v>55.3</v>
      </c>
      <c r="I186" s="159">
        <v>0</v>
      </c>
      <c r="J186" s="194">
        <f t="shared" si="57"/>
        <v>-1.0733452593917735E-2</v>
      </c>
      <c r="K186" s="159">
        <v>0</v>
      </c>
      <c r="L186" s="159">
        <v>52.3</v>
      </c>
      <c r="M186" s="159">
        <v>0</v>
      </c>
      <c r="N186" s="159">
        <v>55.3</v>
      </c>
      <c r="O186" s="159">
        <f>(1-$S$3)*N186</f>
        <v>55.3</v>
      </c>
      <c r="P186" s="251">
        <f t="shared" si="41"/>
        <v>0</v>
      </c>
      <c r="Q186" s="246">
        <f t="shared" si="42"/>
        <v>0</v>
      </c>
      <c r="R186" s="74">
        <f t="shared" si="58"/>
        <v>55.3</v>
      </c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</row>
    <row r="187" spans="1:42" s="21" customFormat="1" x14ac:dyDescent="0.25">
      <c r="A187" s="89" t="s">
        <v>152</v>
      </c>
      <c r="B187" s="91">
        <v>61.7</v>
      </c>
      <c r="C187" s="101">
        <v>61.330495118560208</v>
      </c>
      <c r="D187" s="26">
        <v>60.2</v>
      </c>
      <c r="E187" s="27">
        <f t="shared" si="55"/>
        <v>57.2</v>
      </c>
      <c r="F187" s="27">
        <f>D187-E187</f>
        <v>3</v>
      </c>
      <c r="G187" s="28">
        <f t="shared" si="56"/>
        <v>-7.2933549432739053E-2</v>
      </c>
      <c r="H187" s="156">
        <v>56.6</v>
      </c>
      <c r="I187" s="156">
        <v>0</v>
      </c>
      <c r="J187" s="28">
        <f t="shared" si="57"/>
        <v>-1.0489510489510514E-2</v>
      </c>
      <c r="K187" s="156">
        <v>0</v>
      </c>
      <c r="L187" s="156">
        <v>53.5</v>
      </c>
      <c r="M187" s="156">
        <v>0</v>
      </c>
      <c r="N187" s="156">
        <v>56.6</v>
      </c>
      <c r="O187" s="156">
        <f>(1-$S$3)*N187</f>
        <v>56.6</v>
      </c>
      <c r="P187" s="230">
        <f t="shared" si="41"/>
        <v>0</v>
      </c>
      <c r="Q187" s="74">
        <f t="shared" si="42"/>
        <v>0</v>
      </c>
      <c r="R187" s="74">
        <f t="shared" si="58"/>
        <v>56.6</v>
      </c>
    </row>
    <row r="188" spans="1:42" s="21" customFormat="1" x14ac:dyDescent="0.25">
      <c r="A188" s="71" t="s">
        <v>151</v>
      </c>
      <c r="B188" s="74">
        <v>0</v>
      </c>
      <c r="C188" s="93">
        <v>0</v>
      </c>
      <c r="D188" s="14">
        <v>0</v>
      </c>
      <c r="E188" s="16">
        <f t="shared" si="55"/>
        <v>0</v>
      </c>
      <c r="F188" s="16">
        <f t="shared" si="40"/>
        <v>0</v>
      </c>
      <c r="G188" s="3">
        <f t="shared" si="56"/>
        <v>0</v>
      </c>
      <c r="H188" s="149">
        <f>IF(ISBLANK(E188),"",E188)</f>
        <v>0</v>
      </c>
      <c r="I188" s="149">
        <v>0</v>
      </c>
      <c r="J188" s="3"/>
      <c r="K188" s="3"/>
      <c r="L188" s="149">
        <v>0</v>
      </c>
      <c r="M188" s="149">
        <v>0</v>
      </c>
      <c r="N188" s="149" t="str">
        <f>IF(ISBLANK(K188),"",K188)</f>
        <v/>
      </c>
      <c r="O188" s="149"/>
      <c r="P188" s="230"/>
      <c r="Q188" s="74"/>
      <c r="R188" s="74">
        <f t="shared" si="58"/>
        <v>0</v>
      </c>
    </row>
    <row r="189" spans="1:42" s="21" customFormat="1" x14ac:dyDescent="0.25">
      <c r="A189" s="82" t="s">
        <v>155</v>
      </c>
      <c r="B189" s="74">
        <v>2122.4</v>
      </c>
      <c r="C189" s="93">
        <v>2109.6895111771828</v>
      </c>
      <c r="D189" s="14">
        <v>2071.1</v>
      </c>
      <c r="E189" s="16">
        <f>ROUND((D189-6.2)*0.95,1)</f>
        <v>1961.7</v>
      </c>
      <c r="F189" s="16">
        <f t="shared" si="40"/>
        <v>109.39999999999986</v>
      </c>
      <c r="G189" s="3">
        <f t="shared" si="56"/>
        <v>-7.5716170373162472E-2</v>
      </c>
      <c r="H189" s="155">
        <f>ROUND('Formula I&amp;G'!C21/1000,1)</f>
        <v>1936.1</v>
      </c>
      <c r="I189" s="155">
        <f>H189</f>
        <v>1936.1</v>
      </c>
      <c r="J189" s="19">
        <f>(H189-E189)/E189</f>
        <v>-1.3049905694040952E-2</v>
      </c>
      <c r="K189" s="19">
        <f>(I189-E189)/E189</f>
        <v>-1.3049905694040952E-2</v>
      </c>
      <c r="L189" s="155">
        <v>1949.7</v>
      </c>
      <c r="M189" s="155">
        <f>L189</f>
        <v>1949.7</v>
      </c>
      <c r="N189" s="155">
        <v>1936.1</v>
      </c>
      <c r="O189" s="155">
        <f>(1-$T$3)*'Formula I&amp;G'!C21/1000</f>
        <v>1936.1</v>
      </c>
      <c r="P189" s="230">
        <f t="shared" si="41"/>
        <v>0</v>
      </c>
      <c r="Q189" s="74">
        <f t="shared" si="42"/>
        <v>0</v>
      </c>
      <c r="R189" s="106">
        <f t="shared" si="58"/>
        <v>1936.1</v>
      </c>
    </row>
    <row r="190" spans="1:42" s="21" customFormat="1" x14ac:dyDescent="0.25">
      <c r="A190" s="71" t="s">
        <v>156</v>
      </c>
      <c r="B190" s="74">
        <v>0</v>
      </c>
      <c r="C190" s="93">
        <v>0</v>
      </c>
      <c r="D190" s="14">
        <v>0</v>
      </c>
      <c r="E190" s="16">
        <f t="shared" si="55"/>
        <v>0</v>
      </c>
      <c r="F190" s="16">
        <f t="shared" si="40"/>
        <v>0</v>
      </c>
      <c r="G190" s="3">
        <f t="shared" si="56"/>
        <v>0</v>
      </c>
      <c r="H190" s="149">
        <f>IF(ISBLANK(E190),"",E190)</f>
        <v>0</v>
      </c>
      <c r="I190" s="149">
        <v>0</v>
      </c>
      <c r="J190" s="149">
        <f>IF(ISBLANK(G190),"",G190)</f>
        <v>0</v>
      </c>
      <c r="K190" s="149">
        <v>0</v>
      </c>
      <c r="L190" s="149">
        <v>0</v>
      </c>
      <c r="M190" s="149">
        <v>0</v>
      </c>
      <c r="N190" s="149">
        <f>IF(ISBLANK(K190),"",K190)</f>
        <v>0</v>
      </c>
      <c r="O190" s="149">
        <f t="shared" ref="O190:O199" si="59">(1-$S$3)*N190</f>
        <v>0</v>
      </c>
      <c r="P190" s="230"/>
      <c r="Q190" s="74"/>
      <c r="R190" s="74">
        <f t="shared" si="58"/>
        <v>0</v>
      </c>
    </row>
    <row r="191" spans="1:42" s="21" customFormat="1" x14ac:dyDescent="0.25">
      <c r="A191" s="88" t="s">
        <v>62</v>
      </c>
      <c r="B191" s="74"/>
      <c r="C191" s="93"/>
      <c r="D191" s="14"/>
      <c r="E191" s="16"/>
      <c r="F191" s="16"/>
      <c r="G191" s="3"/>
      <c r="H191" s="149" t="str">
        <f>IF(ISBLANK(E191),"",E191)</f>
        <v/>
      </c>
      <c r="I191" s="149"/>
      <c r="J191" s="149" t="str">
        <f>IF(ISBLANK(G191),"",G191)</f>
        <v/>
      </c>
      <c r="K191" s="149"/>
      <c r="L191" s="149"/>
      <c r="M191" s="149"/>
      <c r="N191" s="149" t="str">
        <f>IF(ISBLANK(K191),"",K191)</f>
        <v/>
      </c>
      <c r="O191" s="149"/>
      <c r="P191" s="230"/>
      <c r="Q191" s="74"/>
      <c r="R191" s="74">
        <f t="shared" si="58"/>
        <v>0</v>
      </c>
    </row>
    <row r="192" spans="1:42" s="21" customFormat="1" x14ac:dyDescent="0.25">
      <c r="A192" s="83" t="s">
        <v>157</v>
      </c>
      <c r="B192" s="74">
        <v>95.7</v>
      </c>
      <c r="C192" s="93">
        <v>95.126878166065026</v>
      </c>
      <c r="D192" s="14">
        <v>93.4</v>
      </c>
      <c r="E192" s="16">
        <f t="shared" si="55"/>
        <v>88.7</v>
      </c>
      <c r="F192" s="16">
        <f t="shared" si="40"/>
        <v>4.7000000000000028</v>
      </c>
      <c r="G192" s="3">
        <f t="shared" ref="G192:G200" si="60">IFERROR(((+E192-B192)/B192),0)</f>
        <v>-7.314524555903866E-2</v>
      </c>
      <c r="H192" s="149">
        <v>87.8</v>
      </c>
      <c r="I192" s="149">
        <v>87.8</v>
      </c>
      <c r="J192" s="3">
        <f>(H192-E192)/E192</f>
        <v>-1.014656144306658E-2</v>
      </c>
      <c r="K192" s="3">
        <f>(I192-E192)/E192</f>
        <v>-1.014656144306658E-2</v>
      </c>
      <c r="L192" s="149">
        <v>88.7</v>
      </c>
      <c r="M192" s="149">
        <v>88.7</v>
      </c>
      <c r="N192" s="149">
        <v>87.8</v>
      </c>
      <c r="O192" s="149">
        <f t="shared" si="59"/>
        <v>87.8</v>
      </c>
      <c r="P192" s="230">
        <f t="shared" si="41"/>
        <v>0</v>
      </c>
      <c r="Q192" s="74">
        <f t="shared" si="42"/>
        <v>0</v>
      </c>
      <c r="R192" s="74">
        <f t="shared" si="58"/>
        <v>87.8</v>
      </c>
    </row>
    <row r="193" spans="1:42" s="252" customFormat="1" x14ac:dyDescent="0.25">
      <c r="A193" s="245" t="s">
        <v>158</v>
      </c>
      <c r="B193" s="246">
        <v>454.5</v>
      </c>
      <c r="C193" s="253">
        <v>451.77812044385109</v>
      </c>
      <c r="D193" s="248">
        <v>443.5</v>
      </c>
      <c r="E193" s="254">
        <f t="shared" si="55"/>
        <v>421.3</v>
      </c>
      <c r="F193" s="254">
        <f t="shared" si="40"/>
        <v>22.199999999999989</v>
      </c>
      <c r="G193" s="194">
        <f t="shared" si="60"/>
        <v>-7.3047304730473023E-2</v>
      </c>
      <c r="H193" s="159">
        <v>417</v>
      </c>
      <c r="I193" s="159">
        <v>0</v>
      </c>
      <c r="J193" s="194">
        <f>(H193-E193)/E193</f>
        <v>-1.0206503679088562E-2</v>
      </c>
      <c r="K193" s="159">
        <v>0</v>
      </c>
      <c r="L193" s="159">
        <v>393.9</v>
      </c>
      <c r="M193" s="159">
        <v>0</v>
      </c>
      <c r="N193" s="159">
        <v>417</v>
      </c>
      <c r="O193" s="159">
        <f t="shared" si="59"/>
        <v>417</v>
      </c>
      <c r="P193" s="251">
        <f t="shared" si="41"/>
        <v>0</v>
      </c>
      <c r="Q193" s="246">
        <f t="shared" si="42"/>
        <v>0</v>
      </c>
      <c r="R193" s="74">
        <f t="shared" si="58"/>
        <v>417</v>
      </c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</row>
    <row r="194" spans="1:42" s="21" customFormat="1" x14ac:dyDescent="0.25">
      <c r="A194" s="89" t="s">
        <v>159</v>
      </c>
      <c r="B194" s="91">
        <v>357.4</v>
      </c>
      <c r="C194" s="101">
        <v>355.25962650524178</v>
      </c>
      <c r="D194" s="26">
        <v>348.8</v>
      </c>
      <c r="E194" s="27">
        <f t="shared" si="55"/>
        <v>331.4</v>
      </c>
      <c r="F194" s="27">
        <f t="shared" si="40"/>
        <v>17.400000000000034</v>
      </c>
      <c r="G194" s="28">
        <f t="shared" si="60"/>
        <v>-7.2747621712367094E-2</v>
      </c>
      <c r="H194" s="156">
        <v>328</v>
      </c>
      <c r="I194" s="156">
        <v>0</v>
      </c>
      <c r="J194" s="28">
        <f>(H194-E194)/E194</f>
        <v>-1.0259505129752497E-2</v>
      </c>
      <c r="K194" s="156">
        <v>0</v>
      </c>
      <c r="L194" s="156">
        <v>309.89999999999998</v>
      </c>
      <c r="M194" s="156">
        <v>0</v>
      </c>
      <c r="N194" s="156">
        <v>328</v>
      </c>
      <c r="O194" s="156">
        <f t="shared" si="59"/>
        <v>328</v>
      </c>
      <c r="P194" s="230">
        <f t="shared" si="41"/>
        <v>0</v>
      </c>
      <c r="Q194" s="74">
        <f t="shared" si="42"/>
        <v>0</v>
      </c>
      <c r="R194" s="74">
        <f t="shared" si="58"/>
        <v>328</v>
      </c>
    </row>
    <row r="195" spans="1:42" s="252" customFormat="1" x14ac:dyDescent="0.25">
      <c r="A195" s="256" t="s">
        <v>160</v>
      </c>
      <c r="B195" s="246">
        <v>244.8</v>
      </c>
      <c r="C195" s="253">
        <v>243.33395794203469</v>
      </c>
      <c r="D195" s="248">
        <v>238.8</v>
      </c>
      <c r="E195" s="254">
        <f t="shared" si="55"/>
        <v>226.9</v>
      </c>
      <c r="F195" s="254">
        <f t="shared" si="40"/>
        <v>11.900000000000006</v>
      </c>
      <c r="G195" s="194">
        <f t="shared" si="60"/>
        <v>-7.3120915032679756E-2</v>
      </c>
      <c r="H195" s="159">
        <v>224.6</v>
      </c>
      <c r="I195" s="159">
        <v>0</v>
      </c>
      <c r="J195" s="194">
        <f>(H195-E195)/E195</f>
        <v>-1.013662406346413E-2</v>
      </c>
      <c r="K195" s="159">
        <v>0</v>
      </c>
      <c r="L195" s="159">
        <v>212.2</v>
      </c>
      <c r="M195" s="159">
        <v>0</v>
      </c>
      <c r="N195" s="159">
        <v>224.6</v>
      </c>
      <c r="O195" s="159">
        <f t="shared" si="59"/>
        <v>224.6</v>
      </c>
      <c r="P195" s="251">
        <f t="shared" si="41"/>
        <v>0</v>
      </c>
      <c r="Q195" s="246">
        <f t="shared" si="42"/>
        <v>0</v>
      </c>
      <c r="R195" s="74">
        <f t="shared" si="58"/>
        <v>224.6</v>
      </c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</row>
    <row r="196" spans="1:42" s="252" customFormat="1" ht="15" customHeight="1" x14ac:dyDescent="0.25">
      <c r="A196" s="245" t="s">
        <v>161</v>
      </c>
      <c r="B196" s="246">
        <v>155.19999999999999</v>
      </c>
      <c r="C196" s="253">
        <v>154.27054849919844</v>
      </c>
      <c r="D196" s="248">
        <v>151.5</v>
      </c>
      <c r="E196" s="254">
        <f t="shared" si="55"/>
        <v>143.9</v>
      </c>
      <c r="F196" s="254">
        <f t="shared" ref="F196:F259" si="61">D196-E196</f>
        <v>7.5999999999999943</v>
      </c>
      <c r="G196" s="194">
        <f t="shared" si="60"/>
        <v>-7.2809278350515358E-2</v>
      </c>
      <c r="H196" s="159">
        <v>142.4</v>
      </c>
      <c r="I196" s="159">
        <v>0</v>
      </c>
      <c r="J196" s="194">
        <f>(H196-E196)/E196</f>
        <v>-1.0423905489923557E-2</v>
      </c>
      <c r="K196" s="159">
        <v>0</v>
      </c>
      <c r="L196" s="159">
        <v>134.5</v>
      </c>
      <c r="M196" s="159">
        <v>0</v>
      </c>
      <c r="N196" s="159">
        <v>142.4</v>
      </c>
      <c r="O196" s="159">
        <f t="shared" si="59"/>
        <v>142.4</v>
      </c>
      <c r="P196" s="251">
        <f t="shared" ref="P196:P259" si="62">1-O196/N196</f>
        <v>0</v>
      </c>
      <c r="Q196" s="246">
        <f t="shared" ref="Q196:Q259" si="63">O196-N196</f>
        <v>0</v>
      </c>
      <c r="R196" s="74">
        <f t="shared" si="58"/>
        <v>142.4</v>
      </c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</row>
    <row r="197" spans="1:42" s="21" customFormat="1" x14ac:dyDescent="0.25">
      <c r="A197" s="98" t="s">
        <v>162</v>
      </c>
      <c r="B197" s="74">
        <v>224.7</v>
      </c>
      <c r="C197" s="93">
        <v>223.35433149336268</v>
      </c>
      <c r="D197" s="14">
        <v>0</v>
      </c>
      <c r="E197" s="16">
        <f t="shared" si="55"/>
        <v>0</v>
      </c>
      <c r="F197" s="16">
        <f t="shared" si="61"/>
        <v>0</v>
      </c>
      <c r="G197" s="3">
        <f t="shared" si="60"/>
        <v>-1</v>
      </c>
      <c r="H197" s="149">
        <f>IF(ISBLANK(E197),"",E197)</f>
        <v>0</v>
      </c>
      <c r="I197" s="149">
        <v>0</v>
      </c>
      <c r="J197" s="149">
        <v>0</v>
      </c>
      <c r="K197" s="149">
        <v>0</v>
      </c>
      <c r="L197" s="149">
        <v>0</v>
      </c>
      <c r="M197" s="149">
        <v>0</v>
      </c>
      <c r="N197" s="149">
        <f>IF(ISBLANK(K197),"",K197)</f>
        <v>0</v>
      </c>
      <c r="O197" s="149">
        <f t="shared" si="59"/>
        <v>0</v>
      </c>
      <c r="P197" s="230"/>
      <c r="Q197" s="74"/>
      <c r="R197" s="74">
        <f t="shared" si="58"/>
        <v>0</v>
      </c>
    </row>
    <row r="198" spans="1:42" s="21" customFormat="1" x14ac:dyDescent="0.25">
      <c r="A198" s="71" t="s">
        <v>163</v>
      </c>
      <c r="B198" s="74">
        <v>0</v>
      </c>
      <c r="C198" s="93">
        <v>0</v>
      </c>
      <c r="D198" s="14">
        <v>0</v>
      </c>
      <c r="E198" s="16">
        <f t="shared" si="55"/>
        <v>0</v>
      </c>
      <c r="F198" s="16">
        <f t="shared" si="61"/>
        <v>0</v>
      </c>
      <c r="G198" s="3">
        <f t="shared" si="60"/>
        <v>0</v>
      </c>
      <c r="H198" s="149">
        <f>IF(ISBLANK(E198),"",E198)</f>
        <v>0</v>
      </c>
      <c r="I198" s="149">
        <v>0</v>
      </c>
      <c r="J198" s="149">
        <f>IF(ISBLANK(G198),"",G198)</f>
        <v>0</v>
      </c>
      <c r="K198" s="149">
        <v>0</v>
      </c>
      <c r="L198" s="149">
        <v>0</v>
      </c>
      <c r="M198" s="149">
        <v>0</v>
      </c>
      <c r="N198" s="149">
        <f>IF(ISBLANK(K198),"",K198)</f>
        <v>0</v>
      </c>
      <c r="O198" s="149">
        <f t="shared" si="59"/>
        <v>0</v>
      </c>
      <c r="P198" s="230"/>
      <c r="Q198" s="74"/>
      <c r="R198" s="74">
        <f t="shared" si="58"/>
        <v>0</v>
      </c>
    </row>
    <row r="199" spans="1:42" s="21" customFormat="1" ht="16.5" thickBot="1" x14ac:dyDescent="0.3">
      <c r="A199" s="83" t="s">
        <v>164</v>
      </c>
      <c r="B199" s="109">
        <v>0</v>
      </c>
      <c r="C199" s="105">
        <v>0</v>
      </c>
      <c r="D199" s="14">
        <v>0</v>
      </c>
      <c r="E199" s="16">
        <f t="shared" si="55"/>
        <v>0</v>
      </c>
      <c r="F199" s="16">
        <f t="shared" si="61"/>
        <v>0</v>
      </c>
      <c r="G199" s="3">
        <f t="shared" si="60"/>
        <v>0</v>
      </c>
      <c r="H199" s="149">
        <f>IF(ISBLANK(E199),"",E199)</f>
        <v>0</v>
      </c>
      <c r="I199" s="149">
        <v>0</v>
      </c>
      <c r="J199" s="149">
        <f>IF(ISBLANK(G199),"",G199)</f>
        <v>0</v>
      </c>
      <c r="K199" s="149">
        <v>0</v>
      </c>
      <c r="L199" s="149">
        <v>0</v>
      </c>
      <c r="M199" s="149">
        <v>0</v>
      </c>
      <c r="N199" s="149">
        <f>IF(ISBLANK(K199),"",K199)</f>
        <v>0</v>
      </c>
      <c r="O199" s="149">
        <f t="shared" si="59"/>
        <v>0</v>
      </c>
      <c r="P199" s="230"/>
      <c r="Q199" s="74"/>
      <c r="R199" s="114">
        <f t="shared" si="58"/>
        <v>0</v>
      </c>
    </row>
    <row r="200" spans="1:42" s="21" customFormat="1" ht="16.5" thickBot="1" x14ac:dyDescent="0.3">
      <c r="A200" s="81" t="s">
        <v>165</v>
      </c>
      <c r="B200" s="15">
        <f>SUM(B181:B199)</f>
        <v>46956.399999999987</v>
      </c>
      <c r="C200" s="17">
        <f>SUM(C181:C199)</f>
        <v>46675.190615642794</v>
      </c>
      <c r="D200" s="15">
        <f>SUM(D181:D199)</f>
        <v>45602.30000000001</v>
      </c>
      <c r="E200" s="15">
        <f>SUM(E181:E199)</f>
        <v>43316.399999999994</v>
      </c>
      <c r="F200" s="17">
        <f t="shared" si="61"/>
        <v>2285.900000000016</v>
      </c>
      <c r="G200" s="6">
        <f t="shared" si="60"/>
        <v>-7.7518719492976326E-2</v>
      </c>
      <c r="H200" s="141">
        <f>SUM(H181:H199)</f>
        <v>42893.400000000009</v>
      </c>
      <c r="I200" s="141">
        <f>SUM(I181:I199)</f>
        <v>42893.4</v>
      </c>
      <c r="J200" s="20">
        <f>(H200-E200)/E200</f>
        <v>-9.7653544615892707E-3</v>
      </c>
      <c r="K200" s="20">
        <f>(I200-E200)/E200</f>
        <v>-9.7653544615894389E-3</v>
      </c>
      <c r="L200" s="141">
        <f>SUM(L181:L199)</f>
        <v>43175.799999999996</v>
      </c>
      <c r="M200" s="142">
        <f>SUM(M181:M199)</f>
        <v>43175.799999999996</v>
      </c>
      <c r="N200" s="141">
        <f>SUM(N181:N199)</f>
        <v>42893.400000000009</v>
      </c>
      <c r="O200" s="141">
        <f>SUM(O181:O199)</f>
        <v>42893.400000000009</v>
      </c>
      <c r="P200" s="232">
        <f t="shared" si="62"/>
        <v>0</v>
      </c>
      <c r="Q200" s="124">
        <f t="shared" si="63"/>
        <v>0</v>
      </c>
      <c r="R200" s="141">
        <f>SUM(R181:R199)</f>
        <v>42893.400000000009</v>
      </c>
    </row>
    <row r="201" spans="1:42" s="21" customFormat="1" x14ac:dyDescent="0.25">
      <c r="A201" s="69"/>
      <c r="B201" s="74"/>
      <c r="C201" s="93"/>
      <c r="D201" s="14"/>
      <c r="E201" s="16"/>
      <c r="F201" s="16"/>
      <c r="G201" s="7"/>
      <c r="H201" s="149" t="str">
        <f>IF(ISBLANK(E201),"",E201)</f>
        <v/>
      </c>
      <c r="I201" s="149"/>
      <c r="J201" s="3"/>
      <c r="K201" s="3"/>
      <c r="L201" s="149" t="s">
        <v>230</v>
      </c>
      <c r="M201" s="149" t="s">
        <v>230</v>
      </c>
      <c r="N201" s="149" t="str">
        <f>IF(ISBLANK(K201),"",K201)</f>
        <v/>
      </c>
      <c r="O201" s="149" t="str">
        <f>IF(ISBLANK(L201),"",L201)</f>
        <v/>
      </c>
      <c r="P201" s="230"/>
      <c r="Q201" s="74"/>
      <c r="R201" s="79"/>
    </row>
    <row r="202" spans="1:42" s="21" customFormat="1" x14ac:dyDescent="0.25">
      <c r="A202" s="69" t="s">
        <v>166</v>
      </c>
      <c r="B202" s="74"/>
      <c r="C202" s="93"/>
      <c r="D202" s="14"/>
      <c r="E202" s="16"/>
      <c r="F202" s="16"/>
      <c r="G202" s="7"/>
      <c r="H202" s="149" t="str">
        <f>IF(ISBLANK(E202),"",E202)</f>
        <v/>
      </c>
      <c r="I202" s="149"/>
      <c r="J202" s="3"/>
      <c r="K202" s="3"/>
      <c r="L202" s="149" t="s">
        <v>230</v>
      </c>
      <c r="M202" s="149" t="s">
        <v>230</v>
      </c>
      <c r="N202" s="149" t="str">
        <f>IF(ISBLANK(K202),"",K202)</f>
        <v/>
      </c>
      <c r="O202" s="149" t="str">
        <f>IF(ISBLANK(L202),"",L202)</f>
        <v/>
      </c>
      <c r="P202" s="230"/>
      <c r="Q202" s="74"/>
      <c r="R202" s="74"/>
    </row>
    <row r="203" spans="1:42" s="21" customFormat="1" x14ac:dyDescent="0.25">
      <c r="A203" s="71" t="s">
        <v>133</v>
      </c>
      <c r="B203" s="74">
        <v>27789</v>
      </c>
      <c r="C203" s="93">
        <v>27622.579073738569</v>
      </c>
      <c r="D203" s="14">
        <v>27118.7</v>
      </c>
      <c r="E203" s="16">
        <f t="shared" ref="E203:E217" si="64">ROUND(D203*0.95,1)</f>
        <v>25762.799999999999</v>
      </c>
      <c r="F203" s="16">
        <f t="shared" si="61"/>
        <v>1355.9000000000015</v>
      </c>
      <c r="G203" s="3">
        <f>IFERROR(((+E203-B203)/B203),0)</f>
        <v>-7.2913742847889484E-2</v>
      </c>
      <c r="H203" s="155">
        <f>ROUND('Formula I&amp;G'!C9/1000,1)</f>
        <v>25523</v>
      </c>
      <c r="I203" s="155">
        <f>H203+H207+H208</f>
        <v>25788.6</v>
      </c>
      <c r="J203" s="19">
        <f>(H203-E203)/E203</f>
        <v>-9.3079944726504604E-3</v>
      </c>
      <c r="K203" s="19">
        <f>(I203-E203)/E203</f>
        <v>1.0014439424285899E-3</v>
      </c>
      <c r="L203" s="155">
        <v>25797.1</v>
      </c>
      <c r="M203" s="155">
        <f>L203+L207+L208</f>
        <v>25862.1</v>
      </c>
      <c r="N203" s="155">
        <v>25523</v>
      </c>
      <c r="O203" s="155">
        <f>(1-$T$3)*'Formula I&amp;G'!C9/1000</f>
        <v>25523</v>
      </c>
      <c r="P203" s="230">
        <f t="shared" si="62"/>
        <v>0</v>
      </c>
      <c r="Q203" s="74">
        <f t="shared" si="63"/>
        <v>0</v>
      </c>
      <c r="R203" s="106">
        <f>O203</f>
        <v>25523</v>
      </c>
    </row>
    <row r="204" spans="1:42" s="21" customFormat="1" x14ac:dyDescent="0.25">
      <c r="A204" s="71" t="s">
        <v>34</v>
      </c>
      <c r="B204" s="74">
        <v>209</v>
      </c>
      <c r="C204" s="93">
        <v>207.74835461554429</v>
      </c>
      <c r="D204" s="14">
        <v>204</v>
      </c>
      <c r="E204" s="16">
        <f t="shared" si="64"/>
        <v>193.8</v>
      </c>
      <c r="F204" s="16">
        <f t="shared" si="61"/>
        <v>10.199999999999989</v>
      </c>
      <c r="G204" s="3">
        <f>IFERROR(((+E204-B204)/B204),0)</f>
        <v>-7.2727272727272668E-2</v>
      </c>
      <c r="H204" s="149">
        <v>191.8</v>
      </c>
      <c r="I204" s="149">
        <v>191.8</v>
      </c>
      <c r="J204" s="3">
        <f>(H204-E204)/E204</f>
        <v>-1.0319917440660475E-2</v>
      </c>
      <c r="K204" s="3">
        <f>(I204-E204)/E204</f>
        <v>-1.0319917440660475E-2</v>
      </c>
      <c r="L204" s="149">
        <v>189</v>
      </c>
      <c r="M204" s="149">
        <v>189</v>
      </c>
      <c r="N204" s="149">
        <v>191.8</v>
      </c>
      <c r="O204" s="149">
        <f t="shared" ref="O204:O216" si="65">(1-$S$3)*N204</f>
        <v>191.8</v>
      </c>
      <c r="P204" s="230">
        <f t="shared" si="62"/>
        <v>0</v>
      </c>
      <c r="Q204" s="74">
        <f t="shared" si="63"/>
        <v>0</v>
      </c>
      <c r="R204" s="74">
        <f t="shared" ref="R204:R216" si="66">O204</f>
        <v>191.8</v>
      </c>
    </row>
    <row r="205" spans="1:42" s="21" customFormat="1" x14ac:dyDescent="0.25">
      <c r="A205" s="88" t="s">
        <v>62</v>
      </c>
      <c r="B205" s="74"/>
      <c r="C205" s="93"/>
      <c r="D205" s="14"/>
      <c r="E205" s="16"/>
      <c r="F205" s="16"/>
      <c r="G205" s="3"/>
      <c r="H205" s="149"/>
      <c r="I205" s="149"/>
      <c r="J205" s="3"/>
      <c r="K205" s="3"/>
      <c r="L205" s="149"/>
      <c r="M205" s="149"/>
      <c r="N205" s="149"/>
      <c r="O205" s="149">
        <f t="shared" si="65"/>
        <v>0</v>
      </c>
      <c r="P205" s="230"/>
      <c r="Q205" s="74">
        <f t="shared" si="63"/>
        <v>0</v>
      </c>
      <c r="R205" s="74">
        <f t="shared" si="66"/>
        <v>0</v>
      </c>
    </row>
    <row r="206" spans="1:42" s="21" customFormat="1" x14ac:dyDescent="0.25">
      <c r="A206" s="71" t="s">
        <v>63</v>
      </c>
      <c r="B206" s="74">
        <v>0</v>
      </c>
      <c r="C206" s="93">
        <v>0</v>
      </c>
      <c r="D206" s="14">
        <v>0</v>
      </c>
      <c r="E206" s="16">
        <f t="shared" si="64"/>
        <v>0</v>
      </c>
      <c r="F206" s="16">
        <f t="shared" si="61"/>
        <v>0</v>
      </c>
      <c r="G206" s="3">
        <f t="shared" ref="G206:G218" si="67">IFERROR(((+E206-B206)/B206),0)</f>
        <v>0</v>
      </c>
      <c r="H206" s="149">
        <f>IF(ISBLANK(E206),"",E206)</f>
        <v>0</v>
      </c>
      <c r="I206" s="149">
        <v>0</v>
      </c>
      <c r="J206" s="149">
        <f>IF(ISBLANK(G206),"",G206)</f>
        <v>0</v>
      </c>
      <c r="K206" s="149">
        <v>0</v>
      </c>
      <c r="L206" s="149">
        <v>0</v>
      </c>
      <c r="M206" s="149">
        <v>0</v>
      </c>
      <c r="N206" s="149">
        <f>IF(ISBLANK(K206),"",K206)</f>
        <v>0</v>
      </c>
      <c r="O206" s="149">
        <f t="shared" si="65"/>
        <v>0</v>
      </c>
      <c r="P206" s="230"/>
      <c r="Q206" s="74">
        <f t="shared" si="63"/>
        <v>0</v>
      </c>
      <c r="R206" s="74">
        <f t="shared" si="66"/>
        <v>0</v>
      </c>
    </row>
    <row r="207" spans="1:42" s="21" customFormat="1" x14ac:dyDescent="0.25">
      <c r="A207" s="87" t="s">
        <v>172</v>
      </c>
      <c r="B207" s="91">
        <v>214.5</v>
      </c>
      <c r="C207" s="101">
        <v>213.21541657911126</v>
      </c>
      <c r="D207" s="26">
        <v>209.3</v>
      </c>
      <c r="E207" s="27">
        <f t="shared" si="64"/>
        <v>198.8</v>
      </c>
      <c r="F207" s="27">
        <f>D207-E207</f>
        <v>10.5</v>
      </c>
      <c r="G207" s="28">
        <f t="shared" si="67"/>
        <v>-7.3193473193473135E-2</v>
      </c>
      <c r="H207" s="156">
        <v>196.8</v>
      </c>
      <c r="I207" s="156">
        <v>0</v>
      </c>
      <c r="J207" s="28">
        <f t="shared" ref="J207:J216" si="68">(H207-E207)/E207</f>
        <v>-1.0060362173038229E-2</v>
      </c>
      <c r="K207" s="156">
        <v>0</v>
      </c>
      <c r="L207" s="156">
        <v>0</v>
      </c>
      <c r="M207" s="156">
        <v>0</v>
      </c>
      <c r="N207" s="156">
        <v>196.8</v>
      </c>
      <c r="O207" s="156">
        <f t="shared" si="65"/>
        <v>196.8</v>
      </c>
      <c r="P207" s="230">
        <f t="shared" si="62"/>
        <v>0</v>
      </c>
      <c r="Q207" s="74">
        <f t="shared" si="63"/>
        <v>0</v>
      </c>
      <c r="R207" s="74">
        <f t="shared" si="66"/>
        <v>196.8</v>
      </c>
    </row>
    <row r="208" spans="1:42" s="21" customFormat="1" x14ac:dyDescent="0.25">
      <c r="A208" s="95" t="s">
        <v>176</v>
      </c>
      <c r="B208" s="91">
        <v>75</v>
      </c>
      <c r="C208" s="101">
        <v>74.550844957731201</v>
      </c>
      <c r="D208" s="26">
        <v>73.2</v>
      </c>
      <c r="E208" s="27">
        <f t="shared" si="64"/>
        <v>69.5</v>
      </c>
      <c r="F208" s="27">
        <f>D208-E208</f>
        <v>3.7000000000000028</v>
      </c>
      <c r="G208" s="28">
        <f t="shared" si="67"/>
        <v>-7.3333333333333334E-2</v>
      </c>
      <c r="H208" s="156">
        <v>68.8</v>
      </c>
      <c r="I208" s="156">
        <v>0</v>
      </c>
      <c r="J208" s="28">
        <f t="shared" si="68"/>
        <v>-1.0071942446043206E-2</v>
      </c>
      <c r="K208" s="156">
        <v>0</v>
      </c>
      <c r="L208" s="156">
        <v>65</v>
      </c>
      <c r="M208" s="156">
        <v>0</v>
      </c>
      <c r="N208" s="156">
        <v>68.8</v>
      </c>
      <c r="O208" s="156">
        <f t="shared" si="65"/>
        <v>68.8</v>
      </c>
      <c r="P208" s="230">
        <f t="shared" si="62"/>
        <v>0</v>
      </c>
      <c r="Q208" s="74">
        <f t="shared" si="63"/>
        <v>0</v>
      </c>
      <c r="R208" s="74">
        <f t="shared" si="66"/>
        <v>68.8</v>
      </c>
    </row>
    <row r="209" spans="1:18" s="21" customFormat="1" x14ac:dyDescent="0.25">
      <c r="A209" s="71" t="s">
        <v>167</v>
      </c>
      <c r="B209" s="74">
        <v>340.1</v>
      </c>
      <c r="C209" s="93">
        <v>338.06323160165846</v>
      </c>
      <c r="D209" s="14">
        <v>331.8</v>
      </c>
      <c r="E209" s="16">
        <f t="shared" si="64"/>
        <v>315.2</v>
      </c>
      <c r="F209" s="16">
        <f t="shared" si="61"/>
        <v>16.600000000000023</v>
      </c>
      <c r="G209" s="3">
        <f t="shared" si="67"/>
        <v>-7.3213760658629903E-2</v>
      </c>
      <c r="H209" s="149">
        <v>312.10000000000002</v>
      </c>
      <c r="I209" s="149">
        <v>312.10000000000002</v>
      </c>
      <c r="J209" s="3">
        <f t="shared" si="68"/>
        <v>-9.8350253807105523E-3</v>
      </c>
      <c r="K209" s="3">
        <f t="shared" ref="K209:K216" si="69">(I209-E209)/E209</f>
        <v>-9.8350253807105523E-3</v>
      </c>
      <c r="L209" s="149">
        <v>315.2</v>
      </c>
      <c r="M209" s="149">
        <v>315.2</v>
      </c>
      <c r="N209" s="149">
        <v>312.10000000000002</v>
      </c>
      <c r="O209" s="149">
        <f t="shared" si="65"/>
        <v>312.10000000000002</v>
      </c>
      <c r="P209" s="230">
        <f t="shared" si="62"/>
        <v>0</v>
      </c>
      <c r="Q209" s="74">
        <f t="shared" si="63"/>
        <v>0</v>
      </c>
      <c r="R209" s="74">
        <f t="shared" si="66"/>
        <v>312.10000000000002</v>
      </c>
    </row>
    <row r="210" spans="1:18" s="21" customFormat="1" x14ac:dyDescent="0.25">
      <c r="A210" s="71" t="s">
        <v>168</v>
      </c>
      <c r="B210" s="74">
        <v>4237.7</v>
      </c>
      <c r="C210" s="93">
        <v>4212.3215423650336</v>
      </c>
      <c r="D210" s="14">
        <v>4134.7</v>
      </c>
      <c r="E210" s="16">
        <f t="shared" si="64"/>
        <v>3928</v>
      </c>
      <c r="F210" s="16">
        <f t="shared" si="61"/>
        <v>206.69999999999982</v>
      </c>
      <c r="G210" s="3">
        <f t="shared" si="67"/>
        <v>-7.3082096420227907E-2</v>
      </c>
      <c r="H210" s="149">
        <v>3888.7</v>
      </c>
      <c r="I210" s="149">
        <v>3888.7</v>
      </c>
      <c r="J210" s="3">
        <f t="shared" si="68"/>
        <v>-1.0005091649694547E-2</v>
      </c>
      <c r="K210" s="3">
        <f t="shared" si="69"/>
        <v>-1.0005091649694547E-2</v>
      </c>
      <c r="L210" s="149">
        <v>3928</v>
      </c>
      <c r="M210" s="149">
        <v>3928</v>
      </c>
      <c r="N210" s="149">
        <v>3888.7</v>
      </c>
      <c r="O210" s="149">
        <f t="shared" si="65"/>
        <v>3888.7</v>
      </c>
      <c r="P210" s="230">
        <f t="shared" si="62"/>
        <v>0</v>
      </c>
      <c r="Q210" s="74">
        <f t="shared" si="63"/>
        <v>0</v>
      </c>
      <c r="R210" s="74">
        <f t="shared" si="66"/>
        <v>3888.7</v>
      </c>
    </row>
    <row r="211" spans="1:18" s="21" customFormat="1" x14ac:dyDescent="0.25">
      <c r="A211" s="71" t="s">
        <v>169</v>
      </c>
      <c r="B211" s="74">
        <v>2006.5</v>
      </c>
      <c r="C211" s="93">
        <v>1994.4836054358357</v>
      </c>
      <c r="D211" s="14">
        <v>1957.7</v>
      </c>
      <c r="E211" s="16">
        <f t="shared" si="64"/>
        <v>1859.8</v>
      </c>
      <c r="F211" s="16">
        <f t="shared" si="61"/>
        <v>97.900000000000091</v>
      </c>
      <c r="G211" s="3">
        <f t="shared" si="67"/>
        <v>-7.3112384749563941E-2</v>
      </c>
      <c r="H211" s="149">
        <v>1841.2</v>
      </c>
      <c r="I211" s="149">
        <v>1841.2</v>
      </c>
      <c r="J211" s="3">
        <f t="shared" si="68"/>
        <v>-1.0001075384449892E-2</v>
      </c>
      <c r="K211" s="3">
        <f t="shared" si="69"/>
        <v>-1.0001075384449892E-2</v>
      </c>
      <c r="L211" s="149">
        <v>1859.8</v>
      </c>
      <c r="M211" s="149">
        <v>1859.8</v>
      </c>
      <c r="N211" s="149">
        <v>1841.2</v>
      </c>
      <c r="O211" s="149">
        <f t="shared" si="65"/>
        <v>1841.2</v>
      </c>
      <c r="P211" s="230">
        <f t="shared" si="62"/>
        <v>0</v>
      </c>
      <c r="Q211" s="74">
        <f t="shared" si="63"/>
        <v>0</v>
      </c>
      <c r="R211" s="74">
        <f t="shared" si="66"/>
        <v>1841.2</v>
      </c>
    </row>
    <row r="212" spans="1:18" s="21" customFormat="1" x14ac:dyDescent="0.25">
      <c r="A212" s="71" t="s">
        <v>170</v>
      </c>
      <c r="B212" s="74">
        <v>1169.5999999999999</v>
      </c>
      <c r="C212" s="93">
        <v>1162.5955768341655</v>
      </c>
      <c r="D212" s="14">
        <v>1141.2</v>
      </c>
      <c r="E212" s="16">
        <f t="shared" si="64"/>
        <v>1084.0999999999999</v>
      </c>
      <c r="F212" s="16">
        <f t="shared" si="61"/>
        <v>57.100000000000136</v>
      </c>
      <c r="G212" s="3">
        <f t="shared" si="67"/>
        <v>-7.3101915184678526E-2</v>
      </c>
      <c r="H212" s="149">
        <v>1073.2</v>
      </c>
      <c r="I212" s="149">
        <v>1073.2</v>
      </c>
      <c r="J212" s="3">
        <f t="shared" si="68"/>
        <v>-1.0054423023706176E-2</v>
      </c>
      <c r="K212" s="3">
        <f t="shared" si="69"/>
        <v>-1.0054423023706176E-2</v>
      </c>
      <c r="L212" s="149">
        <v>1084.0999999999999</v>
      </c>
      <c r="M212" s="149">
        <v>1084.0999999999999</v>
      </c>
      <c r="N212" s="149">
        <v>1073.2</v>
      </c>
      <c r="O212" s="149">
        <f t="shared" si="65"/>
        <v>1073.2</v>
      </c>
      <c r="P212" s="230">
        <f t="shared" si="62"/>
        <v>0</v>
      </c>
      <c r="Q212" s="74">
        <f t="shared" si="63"/>
        <v>0</v>
      </c>
      <c r="R212" s="74">
        <f t="shared" si="66"/>
        <v>1073.2</v>
      </c>
    </row>
    <row r="213" spans="1:18" s="21" customFormat="1" x14ac:dyDescent="0.25">
      <c r="A213" s="71" t="s">
        <v>171</v>
      </c>
      <c r="B213" s="74">
        <v>850.8</v>
      </c>
      <c r="C213" s="93">
        <v>845.70478520050278</v>
      </c>
      <c r="D213" s="14">
        <v>830.2</v>
      </c>
      <c r="E213" s="16">
        <f t="shared" si="64"/>
        <v>788.7</v>
      </c>
      <c r="F213" s="16">
        <f t="shared" si="61"/>
        <v>41.5</v>
      </c>
      <c r="G213" s="3">
        <f t="shared" si="67"/>
        <v>-7.2990126939351099E-2</v>
      </c>
      <c r="H213" s="149">
        <v>780.8</v>
      </c>
      <c r="I213" s="149">
        <v>780.8</v>
      </c>
      <c r="J213" s="3">
        <f t="shared" si="68"/>
        <v>-1.0016482819830214E-2</v>
      </c>
      <c r="K213" s="3">
        <f t="shared" si="69"/>
        <v>-1.0016482819830214E-2</v>
      </c>
      <c r="L213" s="149">
        <v>788.7</v>
      </c>
      <c r="M213" s="149">
        <v>788.7</v>
      </c>
      <c r="N213" s="149">
        <v>780.8</v>
      </c>
      <c r="O213" s="149">
        <f t="shared" si="65"/>
        <v>780.8</v>
      </c>
      <c r="P213" s="230">
        <f t="shared" si="62"/>
        <v>0</v>
      </c>
      <c r="Q213" s="74">
        <f t="shared" si="63"/>
        <v>0</v>
      </c>
      <c r="R213" s="74">
        <f t="shared" si="66"/>
        <v>780.8</v>
      </c>
    </row>
    <row r="214" spans="1:18" s="21" customFormat="1" x14ac:dyDescent="0.25">
      <c r="A214" s="71" t="s">
        <v>173</v>
      </c>
      <c r="B214" s="74">
        <v>862.9</v>
      </c>
      <c r="C214" s="93">
        <v>857.73232152035007</v>
      </c>
      <c r="D214" s="14">
        <v>841.9</v>
      </c>
      <c r="E214" s="16">
        <f t="shared" si="64"/>
        <v>799.8</v>
      </c>
      <c r="F214" s="16">
        <f t="shared" si="61"/>
        <v>42.100000000000023</v>
      </c>
      <c r="G214" s="3">
        <f t="shared" si="67"/>
        <v>-7.3125507011241195E-2</v>
      </c>
      <c r="H214" s="149">
        <v>791.8</v>
      </c>
      <c r="I214" s="149">
        <v>791.8</v>
      </c>
      <c r="J214" s="3">
        <f t="shared" si="68"/>
        <v>-1.0002500625156289E-2</v>
      </c>
      <c r="K214" s="3">
        <f t="shared" si="69"/>
        <v>-1.0002500625156289E-2</v>
      </c>
      <c r="L214" s="149">
        <v>799.8</v>
      </c>
      <c r="M214" s="149">
        <v>799.8</v>
      </c>
      <c r="N214" s="149">
        <v>791.8</v>
      </c>
      <c r="O214" s="149">
        <f t="shared" si="65"/>
        <v>791.8</v>
      </c>
      <c r="P214" s="230">
        <f t="shared" si="62"/>
        <v>0</v>
      </c>
      <c r="Q214" s="74">
        <f t="shared" si="63"/>
        <v>0</v>
      </c>
      <c r="R214" s="74">
        <f t="shared" si="66"/>
        <v>791.8</v>
      </c>
    </row>
    <row r="215" spans="1:18" s="21" customFormat="1" x14ac:dyDescent="0.25">
      <c r="A215" s="71" t="s">
        <v>174</v>
      </c>
      <c r="B215" s="74">
        <v>387.3</v>
      </c>
      <c r="C215" s="93">
        <v>384.98056336172397</v>
      </c>
      <c r="D215" s="14">
        <v>377.9</v>
      </c>
      <c r="E215" s="16">
        <f t="shared" si="64"/>
        <v>359</v>
      </c>
      <c r="F215" s="16">
        <f t="shared" si="61"/>
        <v>18.899999999999977</v>
      </c>
      <c r="G215" s="3">
        <f t="shared" si="67"/>
        <v>-7.3069971598244285E-2</v>
      </c>
      <c r="H215" s="149">
        <v>355.4</v>
      </c>
      <c r="I215" s="149">
        <v>355.4</v>
      </c>
      <c r="J215" s="3">
        <f t="shared" si="68"/>
        <v>-1.0027855153203405E-2</v>
      </c>
      <c r="K215" s="3">
        <f t="shared" si="69"/>
        <v>-1.0027855153203405E-2</v>
      </c>
      <c r="L215" s="149">
        <v>359</v>
      </c>
      <c r="M215" s="149">
        <v>359</v>
      </c>
      <c r="N215" s="149">
        <v>355.4</v>
      </c>
      <c r="O215" s="149">
        <f t="shared" si="65"/>
        <v>355.4</v>
      </c>
      <c r="P215" s="230">
        <f t="shared" si="62"/>
        <v>0</v>
      </c>
      <c r="Q215" s="74">
        <f t="shared" si="63"/>
        <v>0</v>
      </c>
      <c r="R215" s="74">
        <f t="shared" si="66"/>
        <v>355.4</v>
      </c>
    </row>
    <row r="216" spans="1:18" s="21" customFormat="1" x14ac:dyDescent="0.25">
      <c r="A216" s="71" t="s">
        <v>175</v>
      </c>
      <c r="B216" s="74">
        <v>559.6</v>
      </c>
      <c r="C216" s="93">
        <v>556.24870451128515</v>
      </c>
      <c r="D216" s="14">
        <v>546</v>
      </c>
      <c r="E216" s="16">
        <f t="shared" si="64"/>
        <v>518.70000000000005</v>
      </c>
      <c r="F216" s="16">
        <f t="shared" si="61"/>
        <v>27.299999999999955</v>
      </c>
      <c r="G216" s="3">
        <f t="shared" si="67"/>
        <v>-7.3087919942816257E-2</v>
      </c>
      <c r="H216" s="149">
        <v>513.5</v>
      </c>
      <c r="I216" s="149">
        <v>513.5</v>
      </c>
      <c r="J216" s="3">
        <f t="shared" si="68"/>
        <v>-1.002506265664169E-2</v>
      </c>
      <c r="K216" s="3">
        <f t="shared" si="69"/>
        <v>-1.002506265664169E-2</v>
      </c>
      <c r="L216" s="149">
        <v>518.70000000000005</v>
      </c>
      <c r="M216" s="149">
        <v>518.70000000000005</v>
      </c>
      <c r="N216" s="149">
        <v>513.5</v>
      </c>
      <c r="O216" s="149">
        <f t="shared" si="65"/>
        <v>513.5</v>
      </c>
      <c r="P216" s="230">
        <f t="shared" si="62"/>
        <v>0</v>
      </c>
      <c r="Q216" s="74">
        <f t="shared" si="63"/>
        <v>0</v>
      </c>
      <c r="R216" s="74">
        <f t="shared" si="66"/>
        <v>513.5</v>
      </c>
    </row>
    <row r="217" spans="1:18" s="21" customFormat="1" ht="16.5" thickBot="1" x14ac:dyDescent="0.3">
      <c r="A217" s="98" t="s">
        <v>177</v>
      </c>
      <c r="B217" s="74">
        <v>59.8</v>
      </c>
      <c r="C217" s="93">
        <v>59.441873712964345</v>
      </c>
      <c r="D217" s="14">
        <v>0</v>
      </c>
      <c r="E217" s="16">
        <f t="shared" si="64"/>
        <v>0</v>
      </c>
      <c r="F217" s="16">
        <f t="shared" si="61"/>
        <v>0</v>
      </c>
      <c r="G217" s="3">
        <f t="shared" si="67"/>
        <v>-1</v>
      </c>
      <c r="H217" s="149">
        <f>IF(ISBLANK(E217),"",E217)</f>
        <v>0</v>
      </c>
      <c r="I217" s="149">
        <v>0</v>
      </c>
      <c r="J217" s="149">
        <v>0</v>
      </c>
      <c r="K217" s="149">
        <v>0</v>
      </c>
      <c r="L217" s="149">
        <v>0</v>
      </c>
      <c r="M217" s="149">
        <v>0</v>
      </c>
      <c r="N217" s="149">
        <f>IF(ISBLANK(K217),"",K217)</f>
        <v>0</v>
      </c>
      <c r="O217" s="149">
        <f>IF(ISBLANK(L217),"",L217)</f>
        <v>0</v>
      </c>
      <c r="P217" s="230"/>
      <c r="Q217" s="74">
        <f t="shared" si="63"/>
        <v>0</v>
      </c>
      <c r="R217" s="114">
        <f>O217</f>
        <v>0</v>
      </c>
    </row>
    <row r="218" spans="1:18" s="21" customFormat="1" ht="16.5" thickBot="1" x14ac:dyDescent="0.3">
      <c r="A218" s="81" t="s">
        <v>178</v>
      </c>
      <c r="B218" s="15">
        <f>SUM(B203:B217)</f>
        <v>38761.800000000003</v>
      </c>
      <c r="C218" s="17">
        <f>SUM(C203:C217)</f>
        <v>38529.665894434482</v>
      </c>
      <c r="D218" s="15">
        <f>SUM(D203:D217)</f>
        <v>37766.6</v>
      </c>
      <c r="E218" s="15">
        <f>SUM(E203:E217)</f>
        <v>35878.199999999997</v>
      </c>
      <c r="F218" s="17">
        <f t="shared" si="61"/>
        <v>1888.4000000000015</v>
      </c>
      <c r="G218" s="6">
        <f t="shared" si="67"/>
        <v>-7.439283005433199E-2</v>
      </c>
      <c r="H218" s="141">
        <f>SUM(H203:H216)</f>
        <v>35537.100000000006</v>
      </c>
      <c r="I218" s="141">
        <f>SUM(I203:I216)</f>
        <v>35537.100000000006</v>
      </c>
      <c r="J218" s="20">
        <f>(H218-E218)/E218</f>
        <v>-9.5071659113331024E-3</v>
      </c>
      <c r="K218" s="20">
        <f>(I218-E218)/E218</f>
        <v>-9.5071659113331024E-3</v>
      </c>
      <c r="L218" s="141">
        <f>SUM(L203:L216)</f>
        <v>35704.399999999994</v>
      </c>
      <c r="M218" s="142">
        <f>SUM(M203:M216)</f>
        <v>35704.399999999994</v>
      </c>
      <c r="N218" s="141">
        <f>SUM(N203:N216)</f>
        <v>35537.100000000006</v>
      </c>
      <c r="O218" s="141">
        <f>SUM(O203:O216)</f>
        <v>35537.100000000006</v>
      </c>
      <c r="P218" s="232">
        <f t="shared" si="62"/>
        <v>0</v>
      </c>
      <c r="Q218" s="124">
        <f t="shared" si="63"/>
        <v>0</v>
      </c>
      <c r="R218" s="141">
        <f>SUM(R203:R216)</f>
        <v>35537.100000000006</v>
      </c>
    </row>
    <row r="219" spans="1:18" s="21" customFormat="1" x14ac:dyDescent="0.25">
      <c r="A219" s="69"/>
      <c r="B219" s="74"/>
      <c r="C219" s="93"/>
      <c r="D219" s="14"/>
      <c r="E219" s="16"/>
      <c r="F219" s="16"/>
      <c r="G219" s="7"/>
      <c r="H219" s="149"/>
      <c r="I219" s="149"/>
      <c r="J219" s="3"/>
      <c r="K219" s="3"/>
      <c r="L219" s="149" t="s">
        <v>230</v>
      </c>
      <c r="M219" s="149" t="s">
        <v>230</v>
      </c>
      <c r="N219" s="149"/>
      <c r="O219" s="149"/>
      <c r="P219" s="230"/>
      <c r="Q219" s="74"/>
      <c r="R219" s="79"/>
    </row>
    <row r="220" spans="1:18" s="21" customFormat="1" x14ac:dyDescent="0.25">
      <c r="A220" s="69" t="s">
        <v>179</v>
      </c>
      <c r="B220" s="74"/>
      <c r="C220" s="93"/>
      <c r="D220" s="14"/>
      <c r="E220" s="16"/>
      <c r="F220" s="16"/>
      <c r="G220" s="7"/>
      <c r="H220" s="149"/>
      <c r="I220" s="149"/>
      <c r="J220" s="3"/>
      <c r="K220" s="3"/>
      <c r="L220" s="149" t="s">
        <v>230</v>
      </c>
      <c r="M220" s="149" t="s">
        <v>230</v>
      </c>
      <c r="N220" s="149"/>
      <c r="O220" s="149"/>
      <c r="P220" s="230"/>
      <c r="Q220" s="74"/>
      <c r="R220" s="74"/>
    </row>
    <row r="221" spans="1:18" s="21" customFormat="1" x14ac:dyDescent="0.25">
      <c r="A221" s="71" t="s">
        <v>133</v>
      </c>
      <c r="B221" s="74">
        <v>10745.2</v>
      </c>
      <c r="C221" s="93">
        <v>10680.849856530845</v>
      </c>
      <c r="D221" s="14">
        <v>10487</v>
      </c>
      <c r="E221" s="16">
        <f>ROUND((D221-78)*0.95,1)</f>
        <v>9888.6</v>
      </c>
      <c r="F221" s="16">
        <f t="shared" si="61"/>
        <v>598.39999999999964</v>
      </c>
      <c r="G221" s="3">
        <f>IFERROR(((+E221-B221)/B221),0)</f>
        <v>-7.971931653203293E-2</v>
      </c>
      <c r="H221" s="155">
        <f>ROUND('Formula I&amp;G'!C16/1000,1)</f>
        <v>9706.9</v>
      </c>
      <c r="I221" s="155">
        <f>H221+SUM(H224:H226)</f>
        <v>10191.699999999999</v>
      </c>
      <c r="J221" s="19">
        <f>(H221-E221)/E221</f>
        <v>-1.8374694092187036E-2</v>
      </c>
      <c r="K221" s="19">
        <f>(I221-E221)/E221</f>
        <v>3.0651457233581956E-2</v>
      </c>
      <c r="L221" s="155">
        <v>9720.5</v>
      </c>
      <c r="M221" s="155">
        <f>L221+SUM(L224:L226)</f>
        <v>10048.6</v>
      </c>
      <c r="N221" s="155">
        <v>9706.9</v>
      </c>
      <c r="O221" s="155">
        <f>(1-$T$3)*'Formula I&amp;G'!C16/1000</f>
        <v>9706.9</v>
      </c>
      <c r="P221" s="230">
        <f t="shared" si="62"/>
        <v>0</v>
      </c>
      <c r="Q221" s="74">
        <f t="shared" si="63"/>
        <v>0</v>
      </c>
      <c r="R221" s="106">
        <f>O221</f>
        <v>9706.9</v>
      </c>
    </row>
    <row r="222" spans="1:18" s="21" customFormat="1" x14ac:dyDescent="0.25">
      <c r="A222" s="71" t="s">
        <v>34</v>
      </c>
      <c r="B222" s="74">
        <v>268.7</v>
      </c>
      <c r="C222" s="93">
        <v>267.09082720189832</v>
      </c>
      <c r="D222" s="14">
        <v>262.2</v>
      </c>
      <c r="E222" s="16">
        <f t="shared" ref="E222:E229" si="70">ROUND(D222*0.95,1)</f>
        <v>249.1</v>
      </c>
      <c r="F222" s="16">
        <f t="shared" si="61"/>
        <v>13.099999999999994</v>
      </c>
      <c r="G222" s="3">
        <f>IFERROR(((+E222-B222)/B222),0)</f>
        <v>-7.2943803498325258E-2</v>
      </c>
      <c r="H222" s="149">
        <v>246.6</v>
      </c>
      <c r="I222" s="149">
        <v>246.6</v>
      </c>
      <c r="J222" s="3">
        <f>(H222-E222)/E222</f>
        <v>-1.0036130068245684E-2</v>
      </c>
      <c r="K222" s="3">
        <f>(I222-E222)/E222</f>
        <v>-1.0036130068245684E-2</v>
      </c>
      <c r="L222" s="149">
        <v>124.6</v>
      </c>
      <c r="M222" s="149">
        <v>124.6</v>
      </c>
      <c r="N222" s="149">
        <v>246.6</v>
      </c>
      <c r="O222" s="149">
        <f t="shared" ref="O222:O229" si="71">(1-$S$3)*N222</f>
        <v>246.6</v>
      </c>
      <c r="P222" s="230">
        <f t="shared" si="62"/>
        <v>0</v>
      </c>
      <c r="Q222" s="74">
        <f t="shared" si="63"/>
        <v>0</v>
      </c>
      <c r="R222" s="74">
        <f t="shared" ref="R222:R239" si="72">O222</f>
        <v>246.6</v>
      </c>
    </row>
    <row r="223" spans="1:18" s="21" customFormat="1" x14ac:dyDescent="0.25">
      <c r="A223" s="88" t="s">
        <v>62</v>
      </c>
      <c r="B223" s="74"/>
      <c r="C223" s="93"/>
      <c r="D223" s="14"/>
      <c r="E223" s="16"/>
      <c r="F223" s="16"/>
      <c r="G223" s="3"/>
      <c r="H223" s="149"/>
      <c r="I223" s="149"/>
      <c r="J223" s="3"/>
      <c r="K223" s="3"/>
      <c r="L223" s="149"/>
      <c r="M223" s="149"/>
      <c r="N223" s="149"/>
      <c r="O223" s="149">
        <f t="shared" si="71"/>
        <v>0</v>
      </c>
      <c r="P223" s="230"/>
      <c r="Q223" s="74"/>
      <c r="R223" s="74">
        <f t="shared" si="72"/>
        <v>0</v>
      </c>
    </row>
    <row r="224" spans="1:18" s="21" customFormat="1" x14ac:dyDescent="0.25">
      <c r="A224" s="87" t="s">
        <v>180</v>
      </c>
      <c r="B224" s="91">
        <v>253.8</v>
      </c>
      <c r="C224" s="101">
        <v>252.28005933696241</v>
      </c>
      <c r="D224" s="26">
        <v>247.7</v>
      </c>
      <c r="E224" s="27">
        <f t="shared" si="70"/>
        <v>235.3</v>
      </c>
      <c r="F224" s="27">
        <f t="shared" si="61"/>
        <v>12.399999999999977</v>
      </c>
      <c r="G224" s="28">
        <f t="shared" ref="G224:G230" si="73">IFERROR(((+E224-B224)/B224),0)</f>
        <v>-7.2892040977147354E-2</v>
      </c>
      <c r="H224" s="156">
        <v>233</v>
      </c>
      <c r="I224" s="156">
        <v>0</v>
      </c>
      <c r="J224" s="28">
        <f>(H224-E224)/E224</f>
        <v>-9.7747556311092703E-3</v>
      </c>
      <c r="K224" s="156">
        <v>0</v>
      </c>
      <c r="L224" s="156">
        <v>220</v>
      </c>
      <c r="M224" s="156">
        <v>0</v>
      </c>
      <c r="N224" s="156">
        <v>233</v>
      </c>
      <c r="O224" s="156">
        <f t="shared" si="71"/>
        <v>233</v>
      </c>
      <c r="P224" s="230">
        <f t="shared" si="62"/>
        <v>0</v>
      </c>
      <c r="Q224" s="74">
        <f t="shared" si="63"/>
        <v>0</v>
      </c>
      <c r="R224" s="74">
        <f t="shared" si="72"/>
        <v>233</v>
      </c>
    </row>
    <row r="225" spans="1:42" s="252" customFormat="1" x14ac:dyDescent="0.25">
      <c r="A225" s="245" t="s">
        <v>181</v>
      </c>
      <c r="B225" s="246">
        <v>149.6</v>
      </c>
      <c r="C225" s="253">
        <v>148.70408540902119</v>
      </c>
      <c r="D225" s="248">
        <v>146</v>
      </c>
      <c r="E225" s="254">
        <f t="shared" si="70"/>
        <v>138.69999999999999</v>
      </c>
      <c r="F225" s="254">
        <f t="shared" si="61"/>
        <v>7.3000000000000114</v>
      </c>
      <c r="G225" s="194">
        <f t="shared" si="73"/>
        <v>-7.2860962566844961E-2</v>
      </c>
      <c r="H225" s="159">
        <v>137.30000000000001</v>
      </c>
      <c r="I225" s="159">
        <v>0</v>
      </c>
      <c r="J225" s="194">
        <f>(H225-E225)/E225</f>
        <v>-1.0093727469358164E-2</v>
      </c>
      <c r="K225" s="159">
        <v>0</v>
      </c>
      <c r="L225" s="159">
        <v>0</v>
      </c>
      <c r="M225" s="159">
        <v>0</v>
      </c>
      <c r="N225" s="159">
        <v>137.30000000000001</v>
      </c>
      <c r="O225" s="159">
        <f t="shared" si="71"/>
        <v>137.30000000000001</v>
      </c>
      <c r="P225" s="251">
        <f t="shared" si="62"/>
        <v>0</v>
      </c>
      <c r="Q225" s="246">
        <f t="shared" si="63"/>
        <v>0</v>
      </c>
      <c r="R225" s="74">
        <f t="shared" si="72"/>
        <v>137.30000000000001</v>
      </c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</row>
    <row r="226" spans="1:42" s="252" customFormat="1" x14ac:dyDescent="0.25">
      <c r="A226" s="245" t="s">
        <v>182</v>
      </c>
      <c r="B226" s="246">
        <v>124.7</v>
      </c>
      <c r="C226" s="253">
        <v>123.95320488305443</v>
      </c>
      <c r="D226" s="248">
        <v>121.7</v>
      </c>
      <c r="E226" s="254">
        <f t="shared" si="70"/>
        <v>115.6</v>
      </c>
      <c r="F226" s="254">
        <f t="shared" si="61"/>
        <v>6.1000000000000085</v>
      </c>
      <c r="G226" s="194">
        <f t="shared" si="73"/>
        <v>-7.2975140336808408E-2</v>
      </c>
      <c r="H226" s="159">
        <v>114.5</v>
      </c>
      <c r="I226" s="159">
        <v>0</v>
      </c>
      <c r="J226" s="194">
        <f>(H226-E226)/E226</f>
        <v>-9.5155709342560069E-3</v>
      </c>
      <c r="K226" s="159">
        <v>0</v>
      </c>
      <c r="L226" s="159">
        <v>108.1</v>
      </c>
      <c r="M226" s="159">
        <v>0</v>
      </c>
      <c r="N226" s="159">
        <v>114.5</v>
      </c>
      <c r="O226" s="159">
        <f t="shared" si="71"/>
        <v>114.5</v>
      </c>
      <c r="P226" s="251">
        <f t="shared" si="62"/>
        <v>0</v>
      </c>
      <c r="Q226" s="246">
        <f t="shared" si="63"/>
        <v>0</v>
      </c>
      <c r="R226" s="74">
        <f t="shared" si="72"/>
        <v>114.5</v>
      </c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</row>
    <row r="227" spans="1:42" s="21" customFormat="1" x14ac:dyDescent="0.25">
      <c r="A227" s="71" t="s">
        <v>183</v>
      </c>
      <c r="B227" s="74">
        <v>0</v>
      </c>
      <c r="C227" s="93">
        <v>0</v>
      </c>
      <c r="D227" s="14">
        <v>0</v>
      </c>
      <c r="E227" s="16">
        <f t="shared" si="70"/>
        <v>0</v>
      </c>
      <c r="F227" s="16">
        <f t="shared" si="61"/>
        <v>0</v>
      </c>
      <c r="G227" s="3">
        <f t="shared" si="73"/>
        <v>0</v>
      </c>
      <c r="H227" s="149">
        <f>IF(ISBLANK(E227),"",E227)</f>
        <v>0</v>
      </c>
      <c r="I227" s="149">
        <v>0</v>
      </c>
      <c r="J227" s="149">
        <f>IF(ISBLANK(G227),"",G227)</f>
        <v>0</v>
      </c>
      <c r="K227" s="149">
        <v>0</v>
      </c>
      <c r="L227" s="149">
        <v>0</v>
      </c>
      <c r="M227" s="149">
        <v>0</v>
      </c>
      <c r="N227" s="149">
        <f>IF(ISBLANK(K227),"",K227)</f>
        <v>0</v>
      </c>
      <c r="O227" s="149">
        <f t="shared" si="71"/>
        <v>0</v>
      </c>
      <c r="P227" s="230"/>
      <c r="Q227" s="74"/>
      <c r="R227" s="74">
        <f t="shared" si="72"/>
        <v>0</v>
      </c>
    </row>
    <row r="228" spans="1:42" s="21" customFormat="1" x14ac:dyDescent="0.25">
      <c r="A228" s="71" t="s">
        <v>184</v>
      </c>
      <c r="B228" s="74">
        <v>0</v>
      </c>
      <c r="C228" s="93">
        <v>0</v>
      </c>
      <c r="D228" s="14">
        <v>0</v>
      </c>
      <c r="E228" s="16">
        <f t="shared" si="70"/>
        <v>0</v>
      </c>
      <c r="F228" s="16">
        <f t="shared" si="61"/>
        <v>0</v>
      </c>
      <c r="G228" s="3">
        <f t="shared" si="73"/>
        <v>0</v>
      </c>
      <c r="H228" s="149">
        <f>IF(ISBLANK(E228),"",E228)</f>
        <v>0</v>
      </c>
      <c r="I228" s="149">
        <v>0</v>
      </c>
      <c r="J228" s="149">
        <f>IF(ISBLANK(G228),"",G228)</f>
        <v>0</v>
      </c>
      <c r="K228" s="149">
        <v>0</v>
      </c>
      <c r="L228" s="149">
        <v>0</v>
      </c>
      <c r="M228" s="149">
        <v>0</v>
      </c>
      <c r="N228" s="149">
        <f>IF(ISBLANK(K228),"",K228)</f>
        <v>0</v>
      </c>
      <c r="O228" s="149">
        <f t="shared" si="71"/>
        <v>0</v>
      </c>
      <c r="P228" s="230"/>
      <c r="Q228" s="74"/>
      <c r="R228" s="74">
        <f t="shared" si="72"/>
        <v>0</v>
      </c>
    </row>
    <row r="229" spans="1:42" s="21" customFormat="1" ht="16.5" thickBot="1" x14ac:dyDescent="0.3">
      <c r="A229" s="71" t="s">
        <v>185</v>
      </c>
      <c r="B229" s="74">
        <v>0</v>
      </c>
      <c r="C229" s="93">
        <v>0</v>
      </c>
      <c r="D229" s="14">
        <v>0</v>
      </c>
      <c r="E229" s="16">
        <f t="shared" si="70"/>
        <v>0</v>
      </c>
      <c r="F229" s="16">
        <f t="shared" si="61"/>
        <v>0</v>
      </c>
      <c r="G229" s="3">
        <f t="shared" si="73"/>
        <v>0</v>
      </c>
      <c r="H229" s="149">
        <f>IF(ISBLANK(E229),"",E229)</f>
        <v>0</v>
      </c>
      <c r="I229" s="149">
        <v>0</v>
      </c>
      <c r="J229" s="149">
        <f>IF(ISBLANK(G229),"",G229)</f>
        <v>0</v>
      </c>
      <c r="K229" s="149">
        <v>0</v>
      </c>
      <c r="L229" s="149">
        <v>0</v>
      </c>
      <c r="M229" s="149">
        <v>0</v>
      </c>
      <c r="N229" s="149">
        <f>IF(ISBLANK(K229),"",K229)</f>
        <v>0</v>
      </c>
      <c r="O229" s="149">
        <f t="shared" si="71"/>
        <v>0</v>
      </c>
      <c r="P229" s="230"/>
      <c r="Q229" s="74"/>
      <c r="R229" s="74">
        <f t="shared" si="72"/>
        <v>0</v>
      </c>
    </row>
    <row r="230" spans="1:42" s="21" customFormat="1" ht="16.5" thickBot="1" x14ac:dyDescent="0.3">
      <c r="A230" s="81" t="s">
        <v>186</v>
      </c>
      <c r="B230" s="15">
        <f>SUM(B221:B229)</f>
        <v>11542.000000000002</v>
      </c>
      <c r="C230" s="17">
        <f>SUM(C221:C229)</f>
        <v>11472.878033361783</v>
      </c>
      <c r="D230" s="15">
        <f>SUM(D221:D229)</f>
        <v>11264.600000000002</v>
      </c>
      <c r="E230" s="15">
        <f>SUM(E221:E229)</f>
        <v>10627.300000000001</v>
      </c>
      <c r="F230" s="17">
        <f t="shared" si="61"/>
        <v>637.30000000000109</v>
      </c>
      <c r="G230" s="6">
        <f t="shared" si="73"/>
        <v>-7.9249696759660426E-2</v>
      </c>
      <c r="H230" s="141">
        <f>SUM(H221:H226)</f>
        <v>10438.299999999999</v>
      </c>
      <c r="I230" s="141">
        <f>SUM(I221:I226)</f>
        <v>10438.299999999999</v>
      </c>
      <c r="J230" s="20">
        <f>(H230-E230)/E230</f>
        <v>-1.778438549772772E-2</v>
      </c>
      <c r="K230" s="20">
        <f>(I230-E230)/E230</f>
        <v>-1.778438549772772E-2</v>
      </c>
      <c r="L230" s="141">
        <f>SUM(L221:L226)</f>
        <v>10173.200000000001</v>
      </c>
      <c r="M230" s="142">
        <f>SUM(M221:M226)</f>
        <v>10173.200000000001</v>
      </c>
      <c r="N230" s="141">
        <f>SUM(N221:N226)</f>
        <v>10438.299999999999</v>
      </c>
      <c r="O230" s="141">
        <f>SUM(O221:O226)</f>
        <v>10438.299999999999</v>
      </c>
      <c r="P230" s="232">
        <f t="shared" si="62"/>
        <v>0</v>
      </c>
      <c r="Q230" s="124">
        <f t="shared" si="63"/>
        <v>0</v>
      </c>
      <c r="R230" s="141">
        <f>SUM(R221:R226)</f>
        <v>10438.299999999999</v>
      </c>
    </row>
    <row r="231" spans="1:42" s="21" customFormat="1" x14ac:dyDescent="0.25">
      <c r="A231" s="71"/>
      <c r="B231" s="74"/>
      <c r="C231" s="93"/>
      <c r="D231" s="14"/>
      <c r="E231" s="16"/>
      <c r="F231" s="16"/>
      <c r="G231" s="7"/>
      <c r="H231" s="149" t="str">
        <f>IF(ISBLANK(E231),"",E231)</f>
        <v/>
      </c>
      <c r="I231" s="149"/>
      <c r="J231" s="3"/>
      <c r="K231" s="3"/>
      <c r="L231" s="149" t="s">
        <v>230</v>
      </c>
      <c r="M231" s="149" t="s">
        <v>230</v>
      </c>
      <c r="N231" s="149" t="str">
        <f>IF(ISBLANK(K231),"",K231)</f>
        <v/>
      </c>
      <c r="O231" s="149" t="str">
        <f>IF(ISBLANK(L231),"",L231)</f>
        <v/>
      </c>
      <c r="P231" s="230"/>
      <c r="Q231" s="74"/>
      <c r="R231" s="74" t="str">
        <f t="shared" si="72"/>
        <v/>
      </c>
    </row>
    <row r="232" spans="1:42" s="21" customFormat="1" x14ac:dyDescent="0.25">
      <c r="A232" s="69" t="s">
        <v>187</v>
      </c>
      <c r="B232" s="74"/>
      <c r="C232" s="93"/>
      <c r="D232" s="14"/>
      <c r="E232" s="16"/>
      <c r="F232" s="16"/>
      <c r="G232" s="7"/>
      <c r="H232" s="149"/>
      <c r="I232" s="149"/>
      <c r="J232" s="3"/>
      <c r="K232" s="3"/>
      <c r="L232" s="149" t="s">
        <v>230</v>
      </c>
      <c r="M232" s="149" t="s">
        <v>230</v>
      </c>
      <c r="N232" s="149"/>
      <c r="O232" s="149"/>
      <c r="P232" s="230"/>
      <c r="Q232" s="74"/>
      <c r="R232" s="74">
        <f t="shared" si="72"/>
        <v>0</v>
      </c>
    </row>
    <row r="233" spans="1:42" s="21" customFormat="1" x14ac:dyDescent="0.25">
      <c r="A233" s="71" t="s">
        <v>133</v>
      </c>
      <c r="B233" s="74">
        <v>9936.9</v>
      </c>
      <c r="C233" s="93">
        <v>9877.3905501397221</v>
      </c>
      <c r="D233" s="14">
        <v>9730.2999999999993</v>
      </c>
      <c r="E233" s="16">
        <f t="shared" ref="E233:E239" si="74">ROUND(D233*0.95,1)</f>
        <v>9243.7999999999993</v>
      </c>
      <c r="F233" s="16">
        <f t="shared" si="61"/>
        <v>486.5</v>
      </c>
      <c r="G233" s="3">
        <f>IFERROR(((+E233-B233)/B233),0)</f>
        <v>-6.9750123277883477E-2</v>
      </c>
      <c r="H233" s="155">
        <f>ROUND('Formula I&amp;G'!C36/1000,1)</f>
        <v>9182.7999999999993</v>
      </c>
      <c r="I233" s="155">
        <f>H233+SUM(H235:H238)</f>
        <v>9574.2999999999993</v>
      </c>
      <c r="J233" s="19">
        <f>(H233-E233)/E233</f>
        <v>-6.599017719985288E-3</v>
      </c>
      <c r="K233" s="19">
        <f>(I233-E233)/E233</f>
        <v>3.5753694368117012E-2</v>
      </c>
      <c r="L233" s="155">
        <v>9306.7000000000007</v>
      </c>
      <c r="M233" s="155">
        <f>L233+SUM(L235:L238)</f>
        <v>9676.6</v>
      </c>
      <c r="N233" s="155">
        <v>9182.7999999999993</v>
      </c>
      <c r="O233" s="155">
        <f>(1-$T$3)*'Formula I&amp;G'!C36/1000</f>
        <v>9182.7999999999993</v>
      </c>
      <c r="P233" s="230">
        <f t="shared" si="62"/>
        <v>0</v>
      </c>
      <c r="Q233" s="74">
        <f t="shared" si="63"/>
        <v>0</v>
      </c>
      <c r="R233" s="74">
        <f t="shared" si="72"/>
        <v>9182.7999999999993</v>
      </c>
    </row>
    <row r="234" spans="1:42" s="21" customFormat="1" x14ac:dyDescent="0.25">
      <c r="A234" s="88" t="s">
        <v>62</v>
      </c>
      <c r="B234" s="74"/>
      <c r="C234" s="93"/>
      <c r="D234" s="14"/>
      <c r="E234" s="16"/>
      <c r="F234" s="16"/>
      <c r="G234" s="3"/>
      <c r="H234" s="149"/>
      <c r="I234" s="149"/>
      <c r="J234" s="3"/>
      <c r="K234" s="3"/>
      <c r="L234" s="149"/>
      <c r="M234" s="149"/>
      <c r="N234" s="149"/>
      <c r="O234" s="149"/>
      <c r="P234" s="230"/>
      <c r="Q234" s="74"/>
      <c r="R234" s="74">
        <f t="shared" si="72"/>
        <v>0</v>
      </c>
    </row>
    <row r="235" spans="1:42" s="252" customFormat="1" x14ac:dyDescent="0.25">
      <c r="A235" s="245" t="s">
        <v>188</v>
      </c>
      <c r="B235" s="246">
        <v>50</v>
      </c>
      <c r="C235" s="253">
        <v>49.700563305154141</v>
      </c>
      <c r="D235" s="248">
        <v>48.8</v>
      </c>
      <c r="E235" s="254">
        <f t="shared" si="74"/>
        <v>46.4</v>
      </c>
      <c r="F235" s="254">
        <f t="shared" si="61"/>
        <v>2.3999999999999986</v>
      </c>
      <c r="G235" s="194">
        <f t="shared" ref="G235:G240" si="75">IFERROR(((+E235-B235)/B235),0)</f>
        <v>-7.2000000000000022E-2</v>
      </c>
      <c r="H235" s="159">
        <v>45.9</v>
      </c>
      <c r="I235" s="159">
        <v>0</v>
      </c>
      <c r="J235" s="194">
        <f>(H235-E235)/E235</f>
        <v>-1.0775862068965518E-2</v>
      </c>
      <c r="K235" s="159">
        <v>0</v>
      </c>
      <c r="L235" s="159">
        <v>43.4</v>
      </c>
      <c r="M235" s="159">
        <v>0</v>
      </c>
      <c r="N235" s="159">
        <v>45.9</v>
      </c>
      <c r="O235" s="159">
        <f>(1-$S$3)*N235</f>
        <v>45.9</v>
      </c>
      <c r="P235" s="251">
        <f t="shared" si="62"/>
        <v>0</v>
      </c>
      <c r="Q235" s="246">
        <f t="shared" si="63"/>
        <v>0</v>
      </c>
      <c r="R235" s="74">
        <f t="shared" si="72"/>
        <v>45.9</v>
      </c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</row>
    <row r="236" spans="1:42" s="21" customFormat="1" x14ac:dyDescent="0.25">
      <c r="A236" s="87" t="s">
        <v>190</v>
      </c>
      <c r="B236" s="91">
        <v>276.7</v>
      </c>
      <c r="C236" s="101">
        <v>275.04291733072301</v>
      </c>
      <c r="D236" s="26">
        <v>270</v>
      </c>
      <c r="E236" s="27">
        <f t="shared" si="74"/>
        <v>256.5</v>
      </c>
      <c r="F236" s="27">
        <f t="shared" si="61"/>
        <v>13.5</v>
      </c>
      <c r="G236" s="28">
        <f t="shared" si="75"/>
        <v>-7.3003252620166201E-2</v>
      </c>
      <c r="H236" s="156">
        <v>253.9</v>
      </c>
      <c r="I236" s="156">
        <v>0</v>
      </c>
      <c r="J236" s="28">
        <f>(H236-E236)/E236</f>
        <v>-1.0136452241715378E-2</v>
      </c>
      <c r="K236" s="156">
        <v>0</v>
      </c>
      <c r="L236" s="156">
        <v>239.8</v>
      </c>
      <c r="M236" s="156">
        <v>0</v>
      </c>
      <c r="N236" s="156">
        <v>253.9</v>
      </c>
      <c r="O236" s="156">
        <f>(1-$S$3)*N236</f>
        <v>253.9</v>
      </c>
      <c r="P236" s="230">
        <f t="shared" si="62"/>
        <v>0</v>
      </c>
      <c r="Q236" s="74">
        <f t="shared" si="63"/>
        <v>0</v>
      </c>
      <c r="R236" s="74">
        <f t="shared" si="72"/>
        <v>253.9</v>
      </c>
    </row>
    <row r="237" spans="1:42" s="252" customFormat="1" x14ac:dyDescent="0.25">
      <c r="A237" s="245" t="s">
        <v>191</v>
      </c>
      <c r="B237" s="246">
        <v>100</v>
      </c>
      <c r="C237" s="253">
        <v>99.401126610308282</v>
      </c>
      <c r="D237" s="248">
        <v>97.6</v>
      </c>
      <c r="E237" s="254">
        <f t="shared" si="74"/>
        <v>92.7</v>
      </c>
      <c r="F237" s="254">
        <f t="shared" si="61"/>
        <v>4.8999999999999915</v>
      </c>
      <c r="G237" s="194">
        <f t="shared" si="75"/>
        <v>-7.2999999999999968E-2</v>
      </c>
      <c r="H237" s="159">
        <v>91.7</v>
      </c>
      <c r="I237" s="159">
        <v>0</v>
      </c>
      <c r="J237" s="194">
        <f>(H237-E237)/E237</f>
        <v>-1.0787486515641855E-2</v>
      </c>
      <c r="K237" s="159">
        <v>0</v>
      </c>
      <c r="L237" s="159">
        <v>86.7</v>
      </c>
      <c r="M237" s="159">
        <v>0</v>
      </c>
      <c r="N237" s="159">
        <v>91.7</v>
      </c>
      <c r="O237" s="159">
        <f>(1-$S$3)*N237</f>
        <v>91.7</v>
      </c>
      <c r="P237" s="251">
        <f t="shared" si="62"/>
        <v>0</v>
      </c>
      <c r="Q237" s="246">
        <f t="shared" si="63"/>
        <v>0</v>
      </c>
      <c r="R237" s="74">
        <f t="shared" si="72"/>
        <v>91.7</v>
      </c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</row>
    <row r="238" spans="1:42" s="21" customFormat="1" x14ac:dyDescent="0.25">
      <c r="A238" s="71" t="s">
        <v>192</v>
      </c>
      <c r="B238" s="74">
        <v>125</v>
      </c>
      <c r="C238" s="93">
        <v>124.25140826288535</v>
      </c>
      <c r="D238" s="14">
        <v>0</v>
      </c>
      <c r="E238" s="16">
        <f t="shared" si="74"/>
        <v>0</v>
      </c>
      <c r="F238" s="16">
        <f t="shared" si="61"/>
        <v>0</v>
      </c>
      <c r="G238" s="3">
        <f t="shared" si="75"/>
        <v>-1</v>
      </c>
      <c r="H238" s="149">
        <f>IF(ISBLANK(E238),"",E238)</f>
        <v>0</v>
      </c>
      <c r="I238" s="149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f>IF(ISBLANK(K238),"",K238)</f>
        <v>0</v>
      </c>
      <c r="O238" s="149">
        <f>(1-$S$3)*N238</f>
        <v>0</v>
      </c>
      <c r="P238" s="230"/>
      <c r="Q238" s="74"/>
      <c r="R238" s="74">
        <f t="shared" si="72"/>
        <v>0</v>
      </c>
    </row>
    <row r="239" spans="1:42" s="21" customFormat="1" ht="16.5" thickBot="1" x14ac:dyDescent="0.3">
      <c r="A239" s="71" t="s">
        <v>189</v>
      </c>
      <c r="B239" s="74">
        <v>4419.7</v>
      </c>
      <c r="C239" s="93">
        <v>4393.2315927957943</v>
      </c>
      <c r="D239" s="14">
        <v>4312.2</v>
      </c>
      <c r="E239" s="16">
        <f t="shared" si="74"/>
        <v>4096.6000000000004</v>
      </c>
      <c r="F239" s="16">
        <f>D239-E239</f>
        <v>215.59999999999945</v>
      </c>
      <c r="G239" s="3">
        <f t="shared" si="75"/>
        <v>-7.310450935583851E-2</v>
      </c>
      <c r="H239" s="149">
        <v>4055.6</v>
      </c>
      <c r="I239" s="149">
        <v>4055.6</v>
      </c>
      <c r="J239" s="3">
        <f>(H239-E239)/E239</f>
        <v>-1.0008299565493445E-2</v>
      </c>
      <c r="K239" s="3">
        <f>(I239-E239)/E239</f>
        <v>-1.0008299565493445E-2</v>
      </c>
      <c r="L239" s="149">
        <v>4096.6000000000004</v>
      </c>
      <c r="M239" s="149">
        <v>4096.6000000000004</v>
      </c>
      <c r="N239" s="149">
        <v>4055.6</v>
      </c>
      <c r="O239" s="149">
        <f>(1-$S$3)*N239</f>
        <v>4055.6</v>
      </c>
      <c r="P239" s="230">
        <f t="shared" si="62"/>
        <v>0</v>
      </c>
      <c r="Q239" s="74">
        <f t="shared" si="63"/>
        <v>0</v>
      </c>
      <c r="R239" s="114">
        <f t="shared" si="72"/>
        <v>4055.6</v>
      </c>
    </row>
    <row r="240" spans="1:42" s="21" customFormat="1" ht="16.5" thickBot="1" x14ac:dyDescent="0.3">
      <c r="A240" s="81" t="s">
        <v>193</v>
      </c>
      <c r="B240" s="15">
        <f>SUM(B233:B239)</f>
        <v>14908.3</v>
      </c>
      <c r="C240" s="17">
        <f>SUM(C233:C239)</f>
        <v>14819.018158444589</v>
      </c>
      <c r="D240" s="15">
        <f>SUM(D233:D239)</f>
        <v>14458.899999999998</v>
      </c>
      <c r="E240" s="15">
        <f>SUM(E233:E239)</f>
        <v>13736</v>
      </c>
      <c r="F240" s="17">
        <f>D240-E240</f>
        <v>722.89999999999782</v>
      </c>
      <c r="G240" s="6">
        <f t="shared" si="75"/>
        <v>-7.863404948921067E-2</v>
      </c>
      <c r="H240" s="141">
        <f>SUM(H233:H239)</f>
        <v>13629.9</v>
      </c>
      <c r="I240" s="141">
        <f>SUM(I233:I239)</f>
        <v>13629.9</v>
      </c>
      <c r="J240" s="20">
        <f>(H240-E240)/E240</f>
        <v>-7.7242283051834858E-3</v>
      </c>
      <c r="K240" s="20">
        <f>(I240-E240)/E240</f>
        <v>-7.7242283051834858E-3</v>
      </c>
      <c r="L240" s="141">
        <f>SUM(L233:L239)</f>
        <v>13773.2</v>
      </c>
      <c r="M240" s="142">
        <f>SUM(M233:M239)</f>
        <v>13773.2</v>
      </c>
      <c r="N240" s="141">
        <f>SUM(N233:N239)</f>
        <v>13629.9</v>
      </c>
      <c r="O240" s="141">
        <f>SUM(O233:O239)</f>
        <v>13629.9</v>
      </c>
      <c r="P240" s="232">
        <f t="shared" si="62"/>
        <v>0</v>
      </c>
      <c r="Q240" s="124">
        <f t="shared" si="63"/>
        <v>0</v>
      </c>
      <c r="R240" s="141">
        <f>SUM(R233:R239)</f>
        <v>13629.9</v>
      </c>
    </row>
    <row r="241" spans="1:42" s="21" customFormat="1" x14ac:dyDescent="0.25">
      <c r="A241" s="71"/>
      <c r="B241" s="74"/>
      <c r="C241" s="93"/>
      <c r="D241" s="14"/>
      <c r="E241" s="16"/>
      <c r="F241" s="16"/>
      <c r="G241" s="7"/>
      <c r="H241" s="149" t="str">
        <f>IF(ISBLANK(E241),"",E241)</f>
        <v/>
      </c>
      <c r="I241" s="149"/>
      <c r="J241" s="3"/>
      <c r="K241" s="3"/>
      <c r="L241" s="149" t="s">
        <v>230</v>
      </c>
      <c r="M241" s="149" t="s">
        <v>230</v>
      </c>
      <c r="N241" s="149" t="str">
        <f>IF(ISBLANK(K241),"",K241)</f>
        <v/>
      </c>
      <c r="O241" s="149" t="str">
        <f>IF(ISBLANK(L241),"",L241)</f>
        <v/>
      </c>
      <c r="P241" s="230"/>
      <c r="Q241" s="74"/>
      <c r="R241" s="79"/>
    </row>
    <row r="242" spans="1:42" s="21" customFormat="1" x14ac:dyDescent="0.25">
      <c r="A242" s="69" t="s">
        <v>194</v>
      </c>
      <c r="B242" s="74"/>
      <c r="C242" s="93"/>
      <c r="D242" s="14"/>
      <c r="E242" s="16"/>
      <c r="F242" s="16"/>
      <c r="G242" s="7"/>
      <c r="H242" s="149" t="str">
        <f>IF(ISBLANK(E242),"",E242)</f>
        <v/>
      </c>
      <c r="I242" s="149"/>
      <c r="J242" s="3"/>
      <c r="K242" s="3"/>
      <c r="L242" s="149" t="s">
        <v>230</v>
      </c>
      <c r="M242" s="149" t="s">
        <v>230</v>
      </c>
      <c r="N242" s="149" t="str">
        <f>IF(ISBLANK(K242),"",K242)</f>
        <v/>
      </c>
      <c r="O242" s="149" t="str">
        <f>IF(ISBLANK(L242),"",L242)</f>
        <v/>
      </c>
      <c r="P242" s="230"/>
      <c r="Q242" s="74"/>
      <c r="R242" s="74"/>
    </row>
    <row r="243" spans="1:42" s="21" customFormat="1" x14ac:dyDescent="0.25">
      <c r="A243" s="71" t="s">
        <v>133</v>
      </c>
      <c r="B243" s="74">
        <v>56947.4</v>
      </c>
      <c r="C243" s="93">
        <v>56606.357175278696</v>
      </c>
      <c r="D243" s="14">
        <v>55889.3</v>
      </c>
      <c r="E243" s="16">
        <f>ROUND(D243*0.95,1)</f>
        <v>53094.8</v>
      </c>
      <c r="F243" s="16">
        <f t="shared" si="61"/>
        <v>2794.5</v>
      </c>
      <c r="G243" s="3">
        <f>IFERROR(((+E243-B243)/B243),0)</f>
        <v>-6.7651903335358574E-2</v>
      </c>
      <c r="H243" s="155">
        <f>ROUND('Formula I&amp;G'!C30/1000,1)</f>
        <v>52815.8</v>
      </c>
      <c r="I243" s="155">
        <f>H243+H244</f>
        <v>52995.4</v>
      </c>
      <c r="J243" s="19">
        <f>(H243-E243)/E243</f>
        <v>-5.2547518777733412E-3</v>
      </c>
      <c r="K243" s="19">
        <f>(I243-E243)/E243</f>
        <v>-1.8721230704325366E-3</v>
      </c>
      <c r="L243" s="155">
        <v>53602.1</v>
      </c>
      <c r="M243" s="155">
        <f>L243+L244</f>
        <v>53771.799999999996</v>
      </c>
      <c r="N243" s="155">
        <v>52815.8</v>
      </c>
      <c r="O243" s="155">
        <f>(1-$T$3)*'Formula I&amp;G'!C30/1000</f>
        <v>52815.8</v>
      </c>
      <c r="P243" s="230">
        <f t="shared" si="62"/>
        <v>0</v>
      </c>
      <c r="Q243" s="74">
        <f t="shared" si="63"/>
        <v>0</v>
      </c>
      <c r="R243" s="106">
        <f>O243</f>
        <v>52815.8</v>
      </c>
    </row>
    <row r="244" spans="1:42" s="21" customFormat="1" x14ac:dyDescent="0.25">
      <c r="A244" s="87" t="s">
        <v>231</v>
      </c>
      <c r="B244" s="91">
        <v>195.9</v>
      </c>
      <c r="C244" s="101">
        <v>194.72680702959391</v>
      </c>
      <c r="D244" s="26">
        <v>191.1</v>
      </c>
      <c r="E244" s="27">
        <f>ROUND(D244*0.95,1)</f>
        <v>181.5</v>
      </c>
      <c r="F244" s="27">
        <f t="shared" si="61"/>
        <v>9.5999999999999943</v>
      </c>
      <c r="G244" s="28">
        <f>IFERROR(((+E244-B244)/B244),0)</f>
        <v>-7.3506891271056682E-2</v>
      </c>
      <c r="H244" s="156">
        <v>179.6</v>
      </c>
      <c r="I244" s="156">
        <v>0</v>
      </c>
      <c r="J244" s="28">
        <f>(H244-E244)/E244</f>
        <v>-1.0468319559228681E-2</v>
      </c>
      <c r="K244" s="156">
        <v>0</v>
      </c>
      <c r="L244" s="156">
        <v>169.7</v>
      </c>
      <c r="M244" s="156">
        <v>0</v>
      </c>
      <c r="N244" s="156">
        <v>179.6</v>
      </c>
      <c r="O244" s="156">
        <f>(1-$S$3)*N244</f>
        <v>179.6</v>
      </c>
      <c r="P244" s="230">
        <f t="shared" si="62"/>
        <v>0</v>
      </c>
      <c r="Q244" s="74">
        <f t="shared" si="63"/>
        <v>0</v>
      </c>
      <c r="R244" s="106">
        <f t="shared" ref="R244:R245" si="76">O244</f>
        <v>179.6</v>
      </c>
    </row>
    <row r="245" spans="1:42" s="21" customFormat="1" ht="16.5" thickBot="1" x14ac:dyDescent="0.3">
      <c r="A245" s="71" t="s">
        <v>195</v>
      </c>
      <c r="B245" s="74">
        <v>0</v>
      </c>
      <c r="C245" s="93">
        <v>0</v>
      </c>
      <c r="D245" s="14">
        <v>0</v>
      </c>
      <c r="E245" s="16">
        <f>ROUND(D245*0.95,1)</f>
        <v>0</v>
      </c>
      <c r="F245" s="16">
        <f t="shared" si="61"/>
        <v>0</v>
      </c>
      <c r="G245" s="3">
        <f>IFERROR(((+E245-B245)/B245),0)</f>
        <v>0</v>
      </c>
      <c r="H245" s="149">
        <f>IF(ISBLANK(E245),"",E245)</f>
        <v>0</v>
      </c>
      <c r="I245" s="149">
        <v>0</v>
      </c>
      <c r="J245" s="149">
        <f>IF(ISBLANK(G245),"",G245)</f>
        <v>0</v>
      </c>
      <c r="K245" s="149">
        <v>0</v>
      </c>
      <c r="L245" s="149">
        <v>0</v>
      </c>
      <c r="M245" s="149">
        <v>0</v>
      </c>
      <c r="N245" s="149">
        <f>IF(ISBLANK(K245),"",K245)</f>
        <v>0</v>
      </c>
      <c r="O245" s="149">
        <f>(1-$S$3)*N245</f>
        <v>0</v>
      </c>
      <c r="P245" s="230"/>
      <c r="Q245" s="74"/>
      <c r="R245" s="106">
        <f t="shared" si="76"/>
        <v>0</v>
      </c>
    </row>
    <row r="246" spans="1:42" s="21" customFormat="1" ht="16.5" thickBot="1" x14ac:dyDescent="0.3">
      <c r="A246" s="81" t="s">
        <v>196</v>
      </c>
      <c r="B246" s="15">
        <f>SUM(B243:B245)</f>
        <v>57143.3</v>
      </c>
      <c r="C246" s="17">
        <f>SUM(C243:C245)</f>
        <v>56801.083982308286</v>
      </c>
      <c r="D246" s="15">
        <f>SUM(D243:D245)</f>
        <v>56080.4</v>
      </c>
      <c r="E246" s="15">
        <f>SUM(E243:E245)</f>
        <v>53276.3</v>
      </c>
      <c r="F246" s="17">
        <f t="shared" si="61"/>
        <v>2804.0999999999985</v>
      </c>
      <c r="G246" s="6">
        <f>IFERROR(((+E246-B246)/B246),0)</f>
        <v>-6.7671975542189539E-2</v>
      </c>
      <c r="H246" s="141">
        <f>SUM(H243:H245)</f>
        <v>52995.4</v>
      </c>
      <c r="I246" s="141">
        <f>SUM(I243:I245)</f>
        <v>52995.4</v>
      </c>
      <c r="J246" s="20">
        <f>(H246-E246)/E246</f>
        <v>-5.2725132939036952E-3</v>
      </c>
      <c r="K246" s="20">
        <f>(I246-E246)/E246</f>
        <v>-5.2725132939036952E-3</v>
      </c>
      <c r="L246" s="141">
        <f>SUM(L243:L245)</f>
        <v>53771.799999999996</v>
      </c>
      <c r="M246" s="142">
        <f>SUM(M243:M245)</f>
        <v>53771.799999999996</v>
      </c>
      <c r="N246" s="141">
        <f>SUM(N243:N245)</f>
        <v>52995.4</v>
      </c>
      <c r="O246" s="141">
        <f>SUM(O243:O245)</f>
        <v>52995.4</v>
      </c>
      <c r="P246" s="233">
        <f t="shared" si="62"/>
        <v>0</v>
      </c>
      <c r="Q246" s="107">
        <f t="shared" si="63"/>
        <v>0</v>
      </c>
      <c r="R246" s="141">
        <f>SUM(R243:R245)</f>
        <v>52995.4</v>
      </c>
    </row>
    <row r="247" spans="1:42" s="21" customFormat="1" x14ac:dyDescent="0.25">
      <c r="A247" s="97"/>
      <c r="B247" s="74"/>
      <c r="C247" s="93"/>
      <c r="D247" s="14"/>
      <c r="E247" s="16"/>
      <c r="F247" s="16"/>
      <c r="G247" s="7"/>
      <c r="H247" s="149"/>
      <c r="I247" s="149"/>
      <c r="J247" s="3"/>
      <c r="K247" s="3"/>
      <c r="L247" s="149" t="s">
        <v>230</v>
      </c>
      <c r="M247" s="149" t="s">
        <v>230</v>
      </c>
      <c r="N247" s="149"/>
      <c r="O247" s="149"/>
      <c r="P247" s="230"/>
      <c r="Q247" s="74"/>
      <c r="R247" s="79"/>
    </row>
    <row r="248" spans="1:42" s="21" customFormat="1" x14ac:dyDescent="0.25">
      <c r="A248" s="69" t="s">
        <v>197</v>
      </c>
      <c r="B248" s="74"/>
      <c r="C248" s="93"/>
      <c r="D248" s="14"/>
      <c r="E248" s="16"/>
      <c r="F248" s="16"/>
      <c r="G248" s="7"/>
      <c r="H248" s="149"/>
      <c r="I248" s="149"/>
      <c r="J248" s="3"/>
      <c r="K248" s="3"/>
      <c r="L248" s="149"/>
      <c r="M248" s="149"/>
      <c r="N248" s="149"/>
      <c r="O248" s="149"/>
      <c r="P248" s="230"/>
      <c r="Q248" s="74"/>
      <c r="R248" s="74"/>
    </row>
    <row r="249" spans="1:42" s="21" customFormat="1" x14ac:dyDescent="0.25">
      <c r="A249" s="71" t="s">
        <v>133</v>
      </c>
      <c r="B249" s="74">
        <v>7494.9</v>
      </c>
      <c r="C249" s="93">
        <v>7450.0150383159944</v>
      </c>
      <c r="D249" s="14">
        <v>7235.5</v>
      </c>
      <c r="E249" s="16">
        <f t="shared" ref="E249:E254" si="77">ROUND(D249*0.95,1)</f>
        <v>6873.7</v>
      </c>
      <c r="F249" s="16">
        <f t="shared" si="61"/>
        <v>361.80000000000018</v>
      </c>
      <c r="G249" s="3">
        <f>IFERROR(((+E249-B249)/B249),0)</f>
        <v>-8.2883027125111725E-2</v>
      </c>
      <c r="H249" s="155">
        <f>ROUND('Formula I&amp;G'!C32/1000,1)</f>
        <v>6730.9</v>
      </c>
      <c r="I249" s="155">
        <f>H249+SUM(H252:H253)</f>
        <v>7528.5</v>
      </c>
      <c r="J249" s="19">
        <f>(H249-E249)/E249</f>
        <v>-2.0774837423803802E-2</v>
      </c>
      <c r="K249" s="19">
        <f>(I249-E249)/E249</f>
        <v>9.5261649475537225E-2</v>
      </c>
      <c r="L249" s="155">
        <v>6723.5</v>
      </c>
      <c r="M249" s="155">
        <f>L249+SUM(L252:L253)</f>
        <v>7166.7</v>
      </c>
      <c r="N249" s="155">
        <v>6730.9</v>
      </c>
      <c r="O249" s="155">
        <f>(1-$T$3)*'Formula I&amp;G'!C32/1000</f>
        <v>6730.9</v>
      </c>
      <c r="P249" s="230">
        <f t="shared" si="62"/>
        <v>0</v>
      </c>
      <c r="Q249" s="74">
        <f t="shared" si="63"/>
        <v>0</v>
      </c>
      <c r="R249" s="106">
        <f>O249</f>
        <v>6730.9</v>
      </c>
    </row>
    <row r="250" spans="1:42" s="21" customFormat="1" x14ac:dyDescent="0.25">
      <c r="A250" s="71" t="s">
        <v>34</v>
      </c>
      <c r="B250" s="74">
        <v>416.7</v>
      </c>
      <c r="C250" s="93">
        <v>414.20449458515458</v>
      </c>
      <c r="D250" s="14">
        <v>406.6</v>
      </c>
      <c r="E250" s="16">
        <f t="shared" si="77"/>
        <v>386.3</v>
      </c>
      <c r="F250" s="16">
        <f t="shared" si="61"/>
        <v>20.300000000000011</v>
      </c>
      <c r="G250" s="3">
        <f>IFERROR(((+E250-B250)/B250),0)</f>
        <v>-7.2954163666906602E-2</v>
      </c>
      <c r="H250" s="149">
        <v>382.4</v>
      </c>
      <c r="I250" s="149">
        <v>382.4</v>
      </c>
      <c r="J250" s="3">
        <f>(H250-E250)/E250</f>
        <v>-1.0095780481491156E-2</v>
      </c>
      <c r="K250" s="3">
        <f>(I250-E250)/E250</f>
        <v>-1.0095780481491156E-2</v>
      </c>
      <c r="L250" s="149">
        <v>193.2</v>
      </c>
      <c r="M250" s="149">
        <v>193.2</v>
      </c>
      <c r="N250" s="149">
        <v>382.4</v>
      </c>
      <c r="O250" s="149">
        <f>(1-$S$3)*N250</f>
        <v>382.4</v>
      </c>
      <c r="P250" s="230">
        <f t="shared" si="62"/>
        <v>0</v>
      </c>
      <c r="Q250" s="74">
        <f t="shared" si="63"/>
        <v>0</v>
      </c>
      <c r="R250" s="74">
        <f t="shared" ref="R250:R262" si="78">O250</f>
        <v>382.4</v>
      </c>
    </row>
    <row r="251" spans="1:42" s="21" customFormat="1" x14ac:dyDescent="0.25">
      <c r="A251" s="88" t="s">
        <v>62</v>
      </c>
      <c r="B251" s="74"/>
      <c r="C251" s="93"/>
      <c r="D251" s="14"/>
      <c r="E251" s="16"/>
      <c r="F251" s="16"/>
      <c r="G251" s="3"/>
      <c r="H251" s="149"/>
      <c r="I251" s="149"/>
      <c r="J251" s="3"/>
      <c r="K251" s="3"/>
      <c r="L251" s="149" t="s">
        <v>230</v>
      </c>
      <c r="M251" s="149" t="s">
        <v>230</v>
      </c>
      <c r="N251" s="149"/>
      <c r="O251" s="149">
        <f>(1-$S$3)*N251</f>
        <v>0</v>
      </c>
      <c r="P251" s="230"/>
      <c r="Q251" s="74"/>
      <c r="R251" s="74">
        <f t="shared" si="78"/>
        <v>0</v>
      </c>
    </row>
    <row r="252" spans="1:42" s="21" customFormat="1" x14ac:dyDescent="0.25">
      <c r="A252" s="87" t="s">
        <v>198</v>
      </c>
      <c r="B252" s="91">
        <v>291</v>
      </c>
      <c r="C252" s="101">
        <v>289.25727843599708</v>
      </c>
      <c r="D252" s="26">
        <v>283.89999999999998</v>
      </c>
      <c r="E252" s="27">
        <f t="shared" si="77"/>
        <v>269.7</v>
      </c>
      <c r="F252" s="27">
        <f t="shared" si="61"/>
        <v>14.199999999999989</v>
      </c>
      <c r="G252" s="28">
        <f>IFERROR(((+E252-B252)/B252),0)</f>
        <v>-7.3195876288659839E-2</v>
      </c>
      <c r="H252" s="156">
        <v>267</v>
      </c>
      <c r="I252" s="156">
        <v>0</v>
      </c>
      <c r="J252" s="28">
        <f>(H252-E252)/E252</f>
        <v>-1.0011123470522762E-2</v>
      </c>
      <c r="K252" s="156">
        <v>0</v>
      </c>
      <c r="L252" s="156">
        <v>252.2</v>
      </c>
      <c r="M252" s="156">
        <v>0</v>
      </c>
      <c r="N252" s="156">
        <v>267</v>
      </c>
      <c r="O252" s="156">
        <f>(1-$S$3)*N252</f>
        <v>267</v>
      </c>
      <c r="P252" s="230">
        <f t="shared" si="62"/>
        <v>0</v>
      </c>
      <c r="Q252" s="74">
        <f t="shared" si="63"/>
        <v>0</v>
      </c>
      <c r="R252" s="74">
        <f t="shared" si="78"/>
        <v>267</v>
      </c>
    </row>
    <row r="253" spans="1:42" s="252" customFormat="1" x14ac:dyDescent="0.25">
      <c r="A253" s="256" t="s">
        <v>199</v>
      </c>
      <c r="B253" s="246">
        <v>578.20000000000005</v>
      </c>
      <c r="C253" s="253">
        <v>574.73731406080253</v>
      </c>
      <c r="D253" s="248">
        <v>564.20000000000005</v>
      </c>
      <c r="E253" s="254">
        <f t="shared" si="77"/>
        <v>536</v>
      </c>
      <c r="F253" s="254">
        <f t="shared" si="61"/>
        <v>28.200000000000045</v>
      </c>
      <c r="G253" s="194">
        <f>IFERROR(((+E253-B253)/B253),0)</f>
        <v>-7.2985126253891461E-2</v>
      </c>
      <c r="H253" s="159">
        <v>530.6</v>
      </c>
      <c r="I253" s="159">
        <v>0</v>
      </c>
      <c r="J253" s="194">
        <f>(H253-E253)/E253</f>
        <v>-1.00746268656716E-2</v>
      </c>
      <c r="K253" s="159">
        <v>0</v>
      </c>
      <c r="L253" s="159">
        <v>191</v>
      </c>
      <c r="M253" s="159">
        <v>0</v>
      </c>
      <c r="N253" s="159">
        <v>530.6</v>
      </c>
      <c r="O253" s="159">
        <f>(1-$S$3)*N253</f>
        <v>530.6</v>
      </c>
      <c r="P253" s="251">
        <f t="shared" si="62"/>
        <v>0</v>
      </c>
      <c r="Q253" s="246">
        <f t="shared" si="63"/>
        <v>0</v>
      </c>
      <c r="R253" s="74">
        <f t="shared" si="78"/>
        <v>530.6</v>
      </c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</row>
    <row r="254" spans="1:42" s="21" customFormat="1" ht="16.5" thickBot="1" x14ac:dyDescent="0.3">
      <c r="A254" s="71" t="s">
        <v>63</v>
      </c>
      <c r="B254" s="74">
        <v>0</v>
      </c>
      <c r="C254" s="93">
        <v>0</v>
      </c>
      <c r="D254" s="14">
        <v>0</v>
      </c>
      <c r="E254" s="16">
        <f t="shared" si="77"/>
        <v>0</v>
      </c>
      <c r="F254" s="16">
        <f t="shared" si="61"/>
        <v>0</v>
      </c>
      <c r="G254" s="3">
        <f>IFERROR(((+E254-B254)/B254),0)</f>
        <v>0</v>
      </c>
      <c r="H254" s="149">
        <f>IF(ISBLANK(E254),"",E254)</f>
        <v>0</v>
      </c>
      <c r="I254" s="149">
        <v>0</v>
      </c>
      <c r="J254" s="149">
        <f>IF(ISBLANK(G254),"",G254)</f>
        <v>0</v>
      </c>
      <c r="K254" s="149">
        <v>0</v>
      </c>
      <c r="L254" s="149">
        <v>0</v>
      </c>
      <c r="M254" s="149">
        <v>0</v>
      </c>
      <c r="N254" s="149">
        <f>IF(ISBLANK(K254),"",K254)</f>
        <v>0</v>
      </c>
      <c r="O254" s="149">
        <f>(1-$S$3)*N254</f>
        <v>0</v>
      </c>
      <c r="P254" s="230"/>
      <c r="Q254" s="74">
        <f t="shared" si="63"/>
        <v>0</v>
      </c>
      <c r="R254" s="74">
        <f t="shared" si="78"/>
        <v>0</v>
      </c>
    </row>
    <row r="255" spans="1:42" s="21" customFormat="1" ht="16.5" thickBot="1" x14ac:dyDescent="0.3">
      <c r="A255" s="81" t="s">
        <v>200</v>
      </c>
      <c r="B255" s="15">
        <f>SUM(B249:B254)</f>
        <v>8780.7999999999993</v>
      </c>
      <c r="C255" s="17">
        <f>SUM(C249:C254)</f>
        <v>8728.2141253979498</v>
      </c>
      <c r="D255" s="15">
        <f>SUM(D249:D254)</f>
        <v>8490.2000000000007</v>
      </c>
      <c r="E255" s="15">
        <f>SUM(E249:E254)</f>
        <v>8065.7</v>
      </c>
      <c r="F255" s="17">
        <f t="shared" si="61"/>
        <v>424.50000000000091</v>
      </c>
      <c r="G255" s="6">
        <f>IFERROR(((+E255-B255)/B255),0)</f>
        <v>-8.143904883381918E-2</v>
      </c>
      <c r="H255" s="141">
        <f>SUM(H249:H253)</f>
        <v>7910.9</v>
      </c>
      <c r="I255" s="141">
        <f>SUM(I249:I253)</f>
        <v>7910.9</v>
      </c>
      <c r="J255" s="20">
        <f>(H255-E255)/E255</f>
        <v>-1.9192382558240472E-2</v>
      </c>
      <c r="K255" s="20">
        <f>(I255-E255)/E255</f>
        <v>-1.9192382558240472E-2</v>
      </c>
      <c r="L255" s="141">
        <f>SUM(L249:L253)</f>
        <v>7359.9</v>
      </c>
      <c r="M255" s="142">
        <f>SUM(M249:M253)</f>
        <v>7359.9</v>
      </c>
      <c r="N255" s="141">
        <f>SUM(N249:N253)</f>
        <v>7910.9</v>
      </c>
      <c r="O255" s="141">
        <f>SUM(O249:O253)</f>
        <v>7910.9</v>
      </c>
      <c r="P255" s="232">
        <f t="shared" si="62"/>
        <v>0</v>
      </c>
      <c r="Q255" s="124">
        <f t="shared" si="63"/>
        <v>0</v>
      </c>
      <c r="R255" s="141">
        <f>SUM(R249:R253)</f>
        <v>7910.9</v>
      </c>
    </row>
    <row r="256" spans="1:42" s="21" customFormat="1" x14ac:dyDescent="0.25">
      <c r="A256" s="97"/>
      <c r="B256" s="74"/>
      <c r="C256" s="93"/>
      <c r="D256" s="14"/>
      <c r="E256" s="16"/>
      <c r="F256" s="16"/>
      <c r="G256" s="7"/>
      <c r="H256" s="149"/>
      <c r="I256" s="149"/>
      <c r="J256" s="3"/>
      <c r="K256" s="3"/>
      <c r="L256" s="149" t="s">
        <v>230</v>
      </c>
      <c r="M256" s="149" t="s">
        <v>230</v>
      </c>
      <c r="N256" s="149"/>
      <c r="O256" s="149"/>
      <c r="P256" s="230"/>
      <c r="Q256" s="74"/>
      <c r="R256" s="74">
        <f t="shared" si="78"/>
        <v>0</v>
      </c>
    </row>
    <row r="257" spans="1:42" s="21" customFormat="1" x14ac:dyDescent="0.25">
      <c r="A257" s="69" t="s">
        <v>201</v>
      </c>
      <c r="B257" s="74"/>
      <c r="C257" s="93"/>
      <c r="D257" s="14"/>
      <c r="E257" s="16"/>
      <c r="F257" s="16"/>
      <c r="G257" s="7"/>
      <c r="H257" s="149"/>
      <c r="I257" s="149"/>
      <c r="J257" s="3"/>
      <c r="K257" s="3"/>
      <c r="L257" s="149" t="s">
        <v>230</v>
      </c>
      <c r="M257" s="149" t="s">
        <v>230</v>
      </c>
      <c r="N257" s="149"/>
      <c r="O257" s="149"/>
      <c r="P257" s="230"/>
      <c r="Q257" s="74"/>
      <c r="R257" s="74">
        <f t="shared" si="78"/>
        <v>0</v>
      </c>
    </row>
    <row r="258" spans="1:42" s="21" customFormat="1" x14ac:dyDescent="0.25">
      <c r="A258" s="71" t="s">
        <v>133</v>
      </c>
      <c r="B258" s="74">
        <v>4294</v>
      </c>
      <c r="C258" s="93">
        <v>4268.2843766466376</v>
      </c>
      <c r="D258" s="14">
        <v>4150.3</v>
      </c>
      <c r="E258" s="16">
        <f>ROUND(D258*0.95,1)</f>
        <v>3942.8</v>
      </c>
      <c r="F258" s="16">
        <f t="shared" si="61"/>
        <v>207.5</v>
      </c>
      <c r="G258" s="3">
        <f>IFERROR(((+E258-B258)/B258),0)</f>
        <v>-8.1788542151839741E-2</v>
      </c>
      <c r="H258" s="155">
        <f>ROUND('Formula I&amp;G'!C33/1000,1)</f>
        <v>3864.2</v>
      </c>
      <c r="I258" s="155">
        <f>H258+H261</f>
        <v>3977.1</v>
      </c>
      <c r="J258" s="19">
        <f>(H258-E258)/E258</f>
        <v>-1.9935071522775783E-2</v>
      </c>
      <c r="K258" s="19">
        <f>(I258-E258)/E258</f>
        <v>8.6994014406005186E-3</v>
      </c>
      <c r="L258" s="155">
        <v>3863.4</v>
      </c>
      <c r="M258" s="155">
        <f>L258+L261</f>
        <v>3970.1</v>
      </c>
      <c r="N258" s="155">
        <v>3864.2</v>
      </c>
      <c r="O258" s="155">
        <f>(1-$T$3)*'Formula I&amp;G'!C33/1000</f>
        <v>3864.2</v>
      </c>
      <c r="P258" s="230">
        <f t="shared" si="62"/>
        <v>0</v>
      </c>
      <c r="Q258" s="74">
        <f t="shared" si="63"/>
        <v>0</v>
      </c>
      <c r="R258" s="74">
        <f t="shared" si="78"/>
        <v>3864.2</v>
      </c>
    </row>
    <row r="259" spans="1:42" s="21" customFormat="1" x14ac:dyDescent="0.25">
      <c r="A259" s="71" t="s">
        <v>34</v>
      </c>
      <c r="B259" s="74">
        <v>150</v>
      </c>
      <c r="C259" s="93">
        <v>149.1016899154624</v>
      </c>
      <c r="D259" s="14">
        <v>146.4</v>
      </c>
      <c r="E259" s="16">
        <f>ROUND(D259*0.95,1)</f>
        <v>139.1</v>
      </c>
      <c r="F259" s="16">
        <f t="shared" si="61"/>
        <v>7.3000000000000114</v>
      </c>
      <c r="G259" s="3">
        <f>IFERROR(((+E259-B259)/B259),0)</f>
        <v>-7.2666666666666699E-2</v>
      </c>
      <c r="H259" s="149">
        <v>137.69999999999999</v>
      </c>
      <c r="I259" s="149">
        <v>137.69999999999999</v>
      </c>
      <c r="J259" s="3">
        <f>(H259-E259)/E259</f>
        <v>-1.0064701653486741E-2</v>
      </c>
      <c r="K259" s="3">
        <f>(I259-E259)/E259</f>
        <v>-1.0064701653486741E-2</v>
      </c>
      <c r="L259" s="149">
        <v>135.6</v>
      </c>
      <c r="M259" s="149">
        <v>135.6</v>
      </c>
      <c r="N259" s="149">
        <v>137.69999999999999</v>
      </c>
      <c r="O259" s="149">
        <f>(1-$S$3)*N259</f>
        <v>137.69999999999999</v>
      </c>
      <c r="P259" s="230">
        <f t="shared" si="62"/>
        <v>0</v>
      </c>
      <c r="Q259" s="74">
        <f t="shared" si="63"/>
        <v>0</v>
      </c>
      <c r="R259" s="74">
        <f t="shared" si="78"/>
        <v>137.69999999999999</v>
      </c>
    </row>
    <row r="260" spans="1:42" s="21" customFormat="1" x14ac:dyDescent="0.25">
      <c r="A260" s="88" t="s">
        <v>62</v>
      </c>
      <c r="B260" s="74"/>
      <c r="C260" s="93"/>
      <c r="D260" s="14"/>
      <c r="E260" s="16"/>
      <c r="F260" s="16"/>
      <c r="G260" s="3"/>
      <c r="H260" s="149"/>
      <c r="I260" s="149"/>
      <c r="J260" s="3"/>
      <c r="K260" s="3"/>
      <c r="L260" s="149"/>
      <c r="M260" s="149"/>
      <c r="N260" s="149"/>
      <c r="O260" s="149">
        <f>(1-$S$3)*N260</f>
        <v>0</v>
      </c>
      <c r="P260" s="230"/>
      <c r="Q260" s="74"/>
      <c r="R260" s="74">
        <f t="shared" si="78"/>
        <v>0</v>
      </c>
    </row>
    <row r="261" spans="1:42" s="21" customFormat="1" x14ac:dyDescent="0.25">
      <c r="A261" s="87" t="s">
        <v>268</v>
      </c>
      <c r="B261" s="91">
        <v>123.1</v>
      </c>
      <c r="C261" s="101">
        <v>122.36278685728948</v>
      </c>
      <c r="D261" s="26">
        <v>120.1</v>
      </c>
      <c r="E261" s="27">
        <f>ROUND(D261*0.95,1)</f>
        <v>114.1</v>
      </c>
      <c r="F261" s="27">
        <f t="shared" ref="F261:F302" si="79">D261-E261</f>
        <v>6</v>
      </c>
      <c r="G261" s="28">
        <f>IFERROR(((+E261-B261)/B261),0)</f>
        <v>-7.3111291632818848E-2</v>
      </c>
      <c r="H261" s="156">
        <v>112.9</v>
      </c>
      <c r="I261" s="156">
        <v>0</v>
      </c>
      <c r="J261" s="28">
        <f>(H261-E261)/E261</f>
        <v>-1.05170902716914E-2</v>
      </c>
      <c r="K261" s="156">
        <v>0</v>
      </c>
      <c r="L261" s="156">
        <v>106.7</v>
      </c>
      <c r="M261" s="156">
        <v>0</v>
      </c>
      <c r="N261" s="156">
        <v>112.9</v>
      </c>
      <c r="O261" s="156">
        <f>(1-$S$3)*N261</f>
        <v>112.9</v>
      </c>
      <c r="P261" s="230">
        <f t="shared" ref="P261:P304" si="80">1-O261/N261</f>
        <v>0</v>
      </c>
      <c r="Q261" s="74">
        <f t="shared" ref="Q261:Q304" si="81">O261-N261</f>
        <v>0</v>
      </c>
      <c r="R261" s="74">
        <f t="shared" si="78"/>
        <v>112.9</v>
      </c>
    </row>
    <row r="262" spans="1:42" s="21" customFormat="1" ht="16.5" thickBot="1" x14ac:dyDescent="0.3">
      <c r="A262" s="71" t="s">
        <v>202</v>
      </c>
      <c r="B262" s="74">
        <v>0</v>
      </c>
      <c r="C262" s="93">
        <v>0</v>
      </c>
      <c r="D262" s="14">
        <v>0</v>
      </c>
      <c r="E262" s="16">
        <f>ROUND(D262*0.95,1)</f>
        <v>0</v>
      </c>
      <c r="F262" s="16">
        <f t="shared" si="79"/>
        <v>0</v>
      </c>
      <c r="G262" s="3">
        <f>IFERROR(((+E262-B262)/B262),0)</f>
        <v>0</v>
      </c>
      <c r="H262" s="149">
        <f>IF(ISBLANK(E262),"",E262)</f>
        <v>0</v>
      </c>
      <c r="I262" s="149">
        <v>0</v>
      </c>
      <c r="J262" s="149">
        <f>IF(ISBLANK(G262),"",G262)</f>
        <v>0</v>
      </c>
      <c r="K262" s="149">
        <v>0</v>
      </c>
      <c r="L262" s="149">
        <v>0</v>
      </c>
      <c r="M262" s="149">
        <v>0</v>
      </c>
      <c r="N262" s="149">
        <f>IF(ISBLANK(K262),"",K262)</f>
        <v>0</v>
      </c>
      <c r="O262" s="149">
        <f>(1-$S$3)*N262</f>
        <v>0</v>
      </c>
      <c r="P262" s="230"/>
      <c r="Q262" s="74"/>
      <c r="R262" s="74">
        <f t="shared" si="78"/>
        <v>0</v>
      </c>
    </row>
    <row r="263" spans="1:42" s="21" customFormat="1" ht="16.5" thickBot="1" x14ac:dyDescent="0.3">
      <c r="A263" s="81" t="s">
        <v>203</v>
      </c>
      <c r="B263" s="15">
        <f>SUM(B257:B262)</f>
        <v>4567.1000000000004</v>
      </c>
      <c r="C263" s="17">
        <f>SUM(C257:C262)</f>
        <v>4539.748853419389</v>
      </c>
      <c r="D263" s="15">
        <f>SUM(D257:D262)</f>
        <v>4416.8</v>
      </c>
      <c r="E263" s="15">
        <f>SUM(E257:E262)</f>
        <v>4196</v>
      </c>
      <c r="F263" s="17">
        <f t="shared" si="79"/>
        <v>220.80000000000018</v>
      </c>
      <c r="G263" s="6">
        <f>IFERROR(((+E263-B263)/B263),0)</f>
        <v>-8.1255063388145726E-2</v>
      </c>
      <c r="H263" s="141">
        <f>SUM(H258:H262)</f>
        <v>4114.7999999999993</v>
      </c>
      <c r="I263" s="141">
        <f>SUM(I258:I262)</f>
        <v>4114.8</v>
      </c>
      <c r="J263" s="20">
        <f>(H263-E263)/E263</f>
        <v>-1.9351763584366237E-2</v>
      </c>
      <c r="K263" s="20">
        <f>(I263-E263)/E263</f>
        <v>-1.9351763584366018E-2</v>
      </c>
      <c r="L263" s="141">
        <f>SUM(L258:L262)</f>
        <v>4105.7</v>
      </c>
      <c r="M263" s="142">
        <f>SUM(M258:M262)</f>
        <v>4105.7</v>
      </c>
      <c r="N263" s="141">
        <f>SUM(N258:N262)</f>
        <v>4114.7999999999993</v>
      </c>
      <c r="O263" s="141">
        <f>SUM(O258:O262)</f>
        <v>4114.7999999999993</v>
      </c>
      <c r="P263" s="233">
        <f t="shared" si="80"/>
        <v>0</v>
      </c>
      <c r="Q263" s="107">
        <f t="shared" si="81"/>
        <v>0</v>
      </c>
      <c r="R263" s="141">
        <f>SUM(R258:R262)</f>
        <v>4114.7999999999993</v>
      </c>
    </row>
    <row r="264" spans="1:42" s="21" customFormat="1" x14ac:dyDescent="0.25">
      <c r="A264" s="69"/>
      <c r="B264" s="74"/>
      <c r="C264" s="93"/>
      <c r="D264" s="14"/>
      <c r="E264" s="16"/>
      <c r="F264" s="16"/>
      <c r="G264" s="7"/>
      <c r="H264" s="149" t="str">
        <f>IF(ISBLANK(E264),"",E264)</f>
        <v/>
      </c>
      <c r="I264" s="149"/>
      <c r="J264" s="3"/>
      <c r="K264" s="3"/>
      <c r="L264" s="149" t="s">
        <v>230</v>
      </c>
      <c r="M264" s="149" t="s">
        <v>230</v>
      </c>
      <c r="N264" s="149" t="str">
        <f>IF(ISBLANK(K264),"",K264)</f>
        <v/>
      </c>
      <c r="O264" s="149" t="str">
        <f>IF(ISBLANK(L264),"",L264)</f>
        <v/>
      </c>
      <c r="P264" s="230"/>
      <c r="Q264" s="74"/>
      <c r="R264" s="79"/>
    </row>
    <row r="265" spans="1:42" s="21" customFormat="1" x14ac:dyDescent="0.25">
      <c r="A265" s="69" t="s">
        <v>204</v>
      </c>
      <c r="B265" s="74"/>
      <c r="C265" s="93"/>
      <c r="D265" s="14"/>
      <c r="E265" s="16"/>
      <c r="F265" s="16"/>
      <c r="G265" s="7"/>
      <c r="H265" s="149" t="str">
        <f>IF(ISBLANK(E265),"",E265)</f>
        <v/>
      </c>
      <c r="I265" s="149"/>
      <c r="J265" s="3"/>
      <c r="K265" s="3"/>
      <c r="L265" s="149" t="s">
        <v>230</v>
      </c>
      <c r="M265" s="149" t="s">
        <v>230</v>
      </c>
      <c r="N265" s="149" t="str">
        <f>IF(ISBLANK(K265),"",K265)</f>
        <v/>
      </c>
      <c r="O265" s="149" t="str">
        <f>IF(ISBLANK(L265),"",L265)</f>
        <v/>
      </c>
      <c r="P265" s="230"/>
      <c r="Q265" s="74"/>
      <c r="R265" s="74"/>
    </row>
    <row r="266" spans="1:42" s="21" customFormat="1" x14ac:dyDescent="0.25">
      <c r="A266" s="71" t="s">
        <v>133</v>
      </c>
      <c r="B266" s="74">
        <v>5615.2</v>
      </c>
      <c r="C266" s="93">
        <v>5581.5720614220299</v>
      </c>
      <c r="D266" s="14">
        <v>5480.5</v>
      </c>
      <c r="E266" s="16">
        <f t="shared" ref="E266:E271" si="82">ROUND(D266*0.95,1)</f>
        <v>5206.5</v>
      </c>
      <c r="F266" s="16">
        <f t="shared" si="79"/>
        <v>274</v>
      </c>
      <c r="G266" s="3">
        <f>IFERROR(((+E266-B266)/B266),0)</f>
        <v>-7.2784584698674992E-2</v>
      </c>
      <c r="H266" s="155">
        <f>ROUND('Formula I&amp;G'!C34/1000,1)</f>
        <v>5157.8999999999996</v>
      </c>
      <c r="I266" s="155">
        <f>H266+SUM(H269:H271)</f>
        <v>5629.9</v>
      </c>
      <c r="J266" s="19">
        <f>(H266-E266)/E266</f>
        <v>-9.3344857389801913E-3</v>
      </c>
      <c r="K266" s="19">
        <f>(I266-E266)/E266</f>
        <v>8.1321425141649792E-2</v>
      </c>
      <c r="L266" s="155">
        <v>5213.2</v>
      </c>
      <c r="M266" s="155">
        <f>L266+SUM(L269:L271)</f>
        <v>5659</v>
      </c>
      <c r="N266" s="155">
        <v>5157.8999999999996</v>
      </c>
      <c r="O266" s="155">
        <f t="shared" ref="O266:O271" si="83">(1-$S$3)*N266</f>
        <v>5157.8999999999996</v>
      </c>
      <c r="P266" s="230">
        <f t="shared" si="80"/>
        <v>0</v>
      </c>
      <c r="Q266" s="74">
        <f t="shared" si="81"/>
        <v>0</v>
      </c>
      <c r="R266" s="106">
        <f>O266</f>
        <v>5157.8999999999996</v>
      </c>
    </row>
    <row r="267" spans="1:42" s="21" customFormat="1" x14ac:dyDescent="0.25">
      <c r="A267" s="71" t="s">
        <v>34</v>
      </c>
      <c r="B267" s="74">
        <v>483.5</v>
      </c>
      <c r="C267" s="93">
        <v>480.60444716084049</v>
      </c>
      <c r="D267" s="14">
        <v>471.7</v>
      </c>
      <c r="E267" s="16">
        <f t="shared" si="82"/>
        <v>448.1</v>
      </c>
      <c r="F267" s="16">
        <f t="shared" si="79"/>
        <v>23.599999999999966</v>
      </c>
      <c r="G267" s="3">
        <f>IFERROR(((+E267-B267)/B267),0)</f>
        <v>-7.3216132368148862E-2</v>
      </c>
      <c r="H267" s="149">
        <f>IF(ISBLANK(E267),"",E267)</f>
        <v>448.1</v>
      </c>
      <c r="I267" s="149">
        <v>448.1</v>
      </c>
      <c r="J267" s="3">
        <f>(H267-E267)/E267</f>
        <v>0</v>
      </c>
      <c r="K267" s="3">
        <f>(I267-E267)/E267</f>
        <v>0</v>
      </c>
      <c r="L267" s="149">
        <v>436.9</v>
      </c>
      <c r="M267" s="149">
        <v>436.9</v>
      </c>
      <c r="N267" s="149">
        <v>448.1</v>
      </c>
      <c r="O267" s="149">
        <f t="shared" si="83"/>
        <v>448.1</v>
      </c>
      <c r="P267" s="230">
        <f t="shared" si="80"/>
        <v>0</v>
      </c>
      <c r="Q267" s="74">
        <f t="shared" si="81"/>
        <v>0</v>
      </c>
      <c r="R267" s="74">
        <f>O267</f>
        <v>448.1</v>
      </c>
    </row>
    <row r="268" spans="1:42" s="21" customFormat="1" x14ac:dyDescent="0.25">
      <c r="A268" s="88" t="s">
        <v>62</v>
      </c>
      <c r="B268" s="74"/>
      <c r="C268" s="93"/>
      <c r="D268" s="14"/>
      <c r="E268" s="16"/>
      <c r="F268" s="16"/>
      <c r="G268" s="3"/>
      <c r="H268" s="149" t="str">
        <f>IF(ISBLANK(E268),"",E268)</f>
        <v/>
      </c>
      <c r="I268" s="149"/>
      <c r="J268" s="3"/>
      <c r="K268" s="3"/>
      <c r="L268" s="149" t="s">
        <v>230</v>
      </c>
      <c r="M268" s="149" t="s">
        <v>230</v>
      </c>
      <c r="N268" s="149" t="str">
        <f>IF(ISBLANK(K268),"",K268)</f>
        <v/>
      </c>
      <c r="O268" s="149"/>
      <c r="P268" s="230"/>
      <c r="Q268" s="74"/>
      <c r="R268" s="74">
        <f t="shared" ref="R268:R271" si="84">O268</f>
        <v>0</v>
      </c>
    </row>
    <row r="269" spans="1:42" s="252" customFormat="1" x14ac:dyDescent="0.25">
      <c r="A269" s="245" t="s">
        <v>205</v>
      </c>
      <c r="B269" s="246">
        <v>176.2</v>
      </c>
      <c r="C269" s="253">
        <v>175.14478508736318</v>
      </c>
      <c r="D269" s="248">
        <v>171.9</v>
      </c>
      <c r="E269" s="254">
        <f t="shared" si="82"/>
        <v>163.30000000000001</v>
      </c>
      <c r="F269" s="254">
        <f t="shared" si="79"/>
        <v>8.5999999999999943</v>
      </c>
      <c r="G269" s="194">
        <f>IFERROR(((+E269-B269)/B269),0)</f>
        <v>-7.3212258796821666E-2</v>
      </c>
      <c r="H269" s="159">
        <v>161.6</v>
      </c>
      <c r="I269" s="257">
        <v>0</v>
      </c>
      <c r="J269" s="194">
        <f>(H269-E269)/E269</f>
        <v>-1.0410287813839663E-2</v>
      </c>
      <c r="K269" s="257">
        <v>0</v>
      </c>
      <c r="L269" s="257">
        <v>152.69999999999999</v>
      </c>
      <c r="M269" s="257">
        <v>0</v>
      </c>
      <c r="N269" s="159">
        <v>161.6</v>
      </c>
      <c r="O269" s="159">
        <f t="shared" si="83"/>
        <v>161.6</v>
      </c>
      <c r="P269" s="251">
        <f t="shared" si="80"/>
        <v>0</v>
      </c>
      <c r="Q269" s="246">
        <f t="shared" si="81"/>
        <v>0</v>
      </c>
      <c r="R269" s="74">
        <f t="shared" si="84"/>
        <v>161.6</v>
      </c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</row>
    <row r="270" spans="1:42" s="21" customFormat="1" x14ac:dyDescent="0.25">
      <c r="A270" s="87" t="s">
        <v>206</v>
      </c>
      <c r="B270" s="91">
        <v>308.2</v>
      </c>
      <c r="C270" s="101">
        <v>306.3542722129701</v>
      </c>
      <c r="D270" s="26">
        <v>300.8</v>
      </c>
      <c r="E270" s="27">
        <f t="shared" si="82"/>
        <v>285.8</v>
      </c>
      <c r="F270" s="27">
        <f t="shared" si="79"/>
        <v>15</v>
      </c>
      <c r="G270" s="28">
        <f>IFERROR(((+E270-B270)/B270),0)</f>
        <v>-7.2680077871511928E-2</v>
      </c>
      <c r="H270" s="156">
        <v>282.89999999999998</v>
      </c>
      <c r="I270" s="161">
        <v>0</v>
      </c>
      <c r="J270" s="28">
        <f>(H270-E270)/E270</f>
        <v>-1.0146955913226152E-2</v>
      </c>
      <c r="K270" s="161">
        <v>0</v>
      </c>
      <c r="L270" s="161">
        <v>267.2</v>
      </c>
      <c r="M270" s="161">
        <v>0</v>
      </c>
      <c r="N270" s="156">
        <v>282.89999999999998</v>
      </c>
      <c r="O270" s="156">
        <f t="shared" si="83"/>
        <v>282.89999999999998</v>
      </c>
      <c r="P270" s="230">
        <f t="shared" si="80"/>
        <v>0</v>
      </c>
      <c r="Q270" s="74">
        <f t="shared" si="81"/>
        <v>0</v>
      </c>
      <c r="R270" s="74">
        <f t="shared" si="84"/>
        <v>282.89999999999998</v>
      </c>
    </row>
    <row r="271" spans="1:42" s="252" customFormat="1" ht="16.5" thickBot="1" x14ac:dyDescent="0.3">
      <c r="A271" s="245" t="s">
        <v>207</v>
      </c>
      <c r="B271" s="246">
        <v>29.9</v>
      </c>
      <c r="C271" s="253">
        <v>29.720936856482172</v>
      </c>
      <c r="D271" s="248">
        <v>29.2</v>
      </c>
      <c r="E271" s="254">
        <f t="shared" si="82"/>
        <v>27.7</v>
      </c>
      <c r="F271" s="254">
        <f t="shared" si="79"/>
        <v>1.5</v>
      </c>
      <c r="G271" s="194">
        <f>IFERROR(((+E271-B271)/B271),0)</f>
        <v>-7.3578595317725731E-2</v>
      </c>
      <c r="H271" s="159">
        <v>27.5</v>
      </c>
      <c r="I271" s="257">
        <v>0</v>
      </c>
      <c r="J271" s="194">
        <f>(H271-E271)/E271</f>
        <v>-7.2202166064981692E-3</v>
      </c>
      <c r="K271" s="257">
        <v>0</v>
      </c>
      <c r="L271" s="257">
        <v>25.9</v>
      </c>
      <c r="M271" s="257">
        <v>0</v>
      </c>
      <c r="N271" s="159">
        <v>27.5</v>
      </c>
      <c r="O271" s="159">
        <f t="shared" si="83"/>
        <v>27.5</v>
      </c>
      <c r="P271" s="251">
        <f t="shared" si="80"/>
        <v>0</v>
      </c>
      <c r="Q271" s="246">
        <f t="shared" si="81"/>
        <v>0</v>
      </c>
      <c r="R271" s="114">
        <f t="shared" si="84"/>
        <v>27.5</v>
      </c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</row>
    <row r="272" spans="1:42" s="21" customFormat="1" ht="16.5" thickBot="1" x14ac:dyDescent="0.3">
      <c r="A272" s="81" t="s">
        <v>208</v>
      </c>
      <c r="B272" s="15">
        <f>SUM(B266:B271)</f>
        <v>6612.9999999999991</v>
      </c>
      <c r="C272" s="17">
        <f>SUM(C266:C271)</f>
        <v>6573.3965027396853</v>
      </c>
      <c r="D272" s="15">
        <f>SUM(D266:D271)</f>
        <v>6454.0999999999995</v>
      </c>
      <c r="E272" s="15">
        <f>SUM(E266:E271)</f>
        <v>6131.4000000000005</v>
      </c>
      <c r="F272" s="17">
        <f t="shared" si="79"/>
        <v>322.69999999999891</v>
      </c>
      <c r="G272" s="6">
        <f>IFERROR(((+E272-B272)/B272),0)</f>
        <v>-7.2826251323151153E-2</v>
      </c>
      <c r="H272" s="141">
        <f>SUM(H266:H271)</f>
        <v>6078</v>
      </c>
      <c r="I272" s="141">
        <f>SUM(I266:I271)</f>
        <v>6078</v>
      </c>
      <c r="J272" s="20">
        <f>(H272-E272)/E272</f>
        <v>-8.7092670515706919E-3</v>
      </c>
      <c r="K272" s="20">
        <f>(I272-E272)/E272</f>
        <v>-8.7092670515706919E-3</v>
      </c>
      <c r="L272" s="141">
        <f>SUM(L266:L271)</f>
        <v>6095.8999999999987</v>
      </c>
      <c r="M272" s="142">
        <f>SUM(M266:M271)</f>
        <v>6095.9</v>
      </c>
      <c r="N272" s="141">
        <f>SUM(N266:N271)</f>
        <v>6078</v>
      </c>
      <c r="O272" s="141">
        <f>SUM(O266:O271)</f>
        <v>6078</v>
      </c>
      <c r="P272" s="233">
        <f t="shared" si="80"/>
        <v>0</v>
      </c>
      <c r="Q272" s="107">
        <f t="shared" si="81"/>
        <v>0</v>
      </c>
      <c r="R272" s="141">
        <f>SUM(R266:R271)</f>
        <v>6078</v>
      </c>
    </row>
    <row r="273" spans="1:18" s="21" customFormat="1" x14ac:dyDescent="0.25">
      <c r="A273" s="69"/>
      <c r="B273" s="74"/>
      <c r="C273" s="93"/>
      <c r="D273" s="14"/>
      <c r="E273" s="16"/>
      <c r="F273" s="16"/>
      <c r="G273" s="7"/>
      <c r="H273" s="149" t="str">
        <f>IF(ISBLANK(E273),"",E273)</f>
        <v/>
      </c>
      <c r="I273" s="149"/>
      <c r="J273" s="3"/>
      <c r="K273" s="3"/>
      <c r="L273" s="149" t="s">
        <v>230</v>
      </c>
      <c r="M273" s="149" t="s">
        <v>230</v>
      </c>
      <c r="N273" s="149" t="str">
        <f>IF(ISBLANK(K273),"",K273)</f>
        <v/>
      </c>
      <c r="O273" s="149" t="str">
        <f>IF(ISBLANK(L273),"",L273)</f>
        <v/>
      </c>
      <c r="P273" s="230"/>
      <c r="Q273" s="74"/>
      <c r="R273" s="74"/>
    </row>
    <row r="274" spans="1:18" s="21" customFormat="1" x14ac:dyDescent="0.25">
      <c r="A274" s="69" t="s">
        <v>209</v>
      </c>
      <c r="B274" s="74"/>
      <c r="C274" s="93"/>
      <c r="D274" s="14"/>
      <c r="E274" s="16"/>
      <c r="F274" s="16"/>
      <c r="G274" s="7"/>
      <c r="H274" s="149" t="str">
        <f>IF(ISBLANK(E274),"",E274)</f>
        <v/>
      </c>
      <c r="I274" s="149"/>
      <c r="J274" s="3"/>
      <c r="K274" s="3"/>
      <c r="L274" s="149" t="s">
        <v>230</v>
      </c>
      <c r="M274" s="149" t="s">
        <v>230</v>
      </c>
      <c r="N274" s="149" t="str">
        <f>IF(ISBLANK(K274),"",K274)</f>
        <v/>
      </c>
      <c r="O274" s="149" t="str">
        <f>IF(ISBLANK(L274),"",L274)</f>
        <v/>
      </c>
      <c r="P274" s="230"/>
      <c r="Q274" s="74"/>
      <c r="R274" s="74"/>
    </row>
    <row r="275" spans="1:18" s="21" customFormat="1" x14ac:dyDescent="0.25">
      <c r="A275" s="71" t="s">
        <v>133</v>
      </c>
      <c r="B275" s="74">
        <v>24836.6</v>
      </c>
      <c r="C275" s="93">
        <v>24687.860211695825</v>
      </c>
      <c r="D275" s="14">
        <v>24238.9</v>
      </c>
      <c r="E275" s="16">
        <f>ROUND((D275-150)*0.95,1)</f>
        <v>22884.5</v>
      </c>
      <c r="F275" s="16">
        <f t="shared" si="79"/>
        <v>1354.4000000000015</v>
      </c>
      <c r="G275" s="3">
        <f>IFERROR(((+E275-B275)/B275),0)</f>
        <v>-7.8597714663037554E-2</v>
      </c>
      <c r="H275" s="155">
        <f>ROUND('Formula I&amp;G'!C35/1000,1)</f>
        <v>22555.4</v>
      </c>
      <c r="I275" s="155">
        <f>H275+SUM(H277:H278)</f>
        <v>22907.4</v>
      </c>
      <c r="J275" s="19">
        <f>(H275-E275)/E275</f>
        <v>-1.4380912844938651E-2</v>
      </c>
      <c r="K275" s="19">
        <f>(I275-E275)/E275</f>
        <v>1.0006773143394637E-3</v>
      </c>
      <c r="L275" s="155">
        <v>22680.9</v>
      </c>
      <c r="M275" s="155">
        <f>L275+SUM(L277:L278)</f>
        <v>23013.4</v>
      </c>
      <c r="N275" s="155">
        <v>22555.4</v>
      </c>
      <c r="O275" s="155">
        <f>(1-$T$3)*'Formula I&amp;G'!C35/1000</f>
        <v>22555.4</v>
      </c>
      <c r="P275" s="230">
        <f t="shared" si="80"/>
        <v>0</v>
      </c>
      <c r="Q275" s="74">
        <f t="shared" si="81"/>
        <v>0</v>
      </c>
      <c r="R275" s="106">
        <f>O275</f>
        <v>22555.4</v>
      </c>
    </row>
    <row r="276" spans="1:18" s="21" customFormat="1" x14ac:dyDescent="0.25">
      <c r="A276" s="88" t="s">
        <v>62</v>
      </c>
      <c r="B276" s="74"/>
      <c r="C276" s="93"/>
      <c r="D276" s="14"/>
      <c r="E276" s="16"/>
      <c r="F276" s="16"/>
      <c r="G276" s="3"/>
      <c r="H276" s="149"/>
      <c r="I276" s="149"/>
      <c r="J276" s="3"/>
      <c r="K276" s="3"/>
      <c r="L276" s="149"/>
      <c r="M276" s="149"/>
      <c r="N276" s="149"/>
      <c r="O276" s="149"/>
      <c r="P276" s="230"/>
      <c r="Q276" s="74"/>
      <c r="R276" s="74">
        <f t="shared" ref="R276:R278" si="85">O276</f>
        <v>0</v>
      </c>
    </row>
    <row r="277" spans="1:18" s="21" customFormat="1" x14ac:dyDescent="0.25">
      <c r="A277" s="87" t="s">
        <v>210</v>
      </c>
      <c r="B277" s="91">
        <v>167.5</v>
      </c>
      <c r="C277" s="101">
        <v>166.49688707226636</v>
      </c>
      <c r="D277" s="26">
        <v>163.4</v>
      </c>
      <c r="E277" s="27">
        <f>ROUND(D277*0.95,1)</f>
        <v>155.19999999999999</v>
      </c>
      <c r="F277" s="27">
        <f t="shared" si="79"/>
        <v>8.2000000000000171</v>
      </c>
      <c r="G277" s="28">
        <f>IFERROR(((+E277-B277)/B277),0)</f>
        <v>-7.3432835820895589E-2</v>
      </c>
      <c r="H277" s="156">
        <v>153.69999999999999</v>
      </c>
      <c r="I277" s="156">
        <v>0</v>
      </c>
      <c r="J277" s="28">
        <f>(H277-E277)/E277</f>
        <v>-9.6649484536082478E-3</v>
      </c>
      <c r="K277" s="156">
        <v>0</v>
      </c>
      <c r="L277" s="156">
        <v>145.1</v>
      </c>
      <c r="M277" s="156">
        <v>0</v>
      </c>
      <c r="N277" s="156">
        <v>153.69999999999999</v>
      </c>
      <c r="O277" s="156">
        <f>(1-$S$3)*N277</f>
        <v>153.69999999999999</v>
      </c>
      <c r="P277" s="230">
        <f t="shared" si="80"/>
        <v>0</v>
      </c>
      <c r="Q277" s="74">
        <f t="shared" si="81"/>
        <v>0</v>
      </c>
      <c r="R277" s="74">
        <f t="shared" si="85"/>
        <v>153.69999999999999</v>
      </c>
    </row>
    <row r="278" spans="1:18" s="21" customFormat="1" ht="16.5" thickBot="1" x14ac:dyDescent="0.3">
      <c r="A278" s="87" t="s">
        <v>211</v>
      </c>
      <c r="B278" s="91">
        <v>216.2</v>
      </c>
      <c r="C278" s="101">
        <v>214.90523573148647</v>
      </c>
      <c r="D278" s="26">
        <v>210.9</v>
      </c>
      <c r="E278" s="27">
        <f>ROUND(D278*0.95,1)</f>
        <v>200.4</v>
      </c>
      <c r="F278" s="27">
        <f t="shared" si="79"/>
        <v>10.5</v>
      </c>
      <c r="G278" s="28">
        <f>IFERROR(((+E278-B278)/B278),0)</f>
        <v>-7.308048103607763E-2</v>
      </c>
      <c r="H278" s="156">
        <v>198.3</v>
      </c>
      <c r="I278" s="156">
        <v>0</v>
      </c>
      <c r="J278" s="28">
        <f>(H278-E278)/E278</f>
        <v>-1.0479041916167636E-2</v>
      </c>
      <c r="K278" s="156">
        <v>0</v>
      </c>
      <c r="L278" s="156">
        <v>187.4</v>
      </c>
      <c r="M278" s="156">
        <v>0</v>
      </c>
      <c r="N278" s="156">
        <v>198.3</v>
      </c>
      <c r="O278" s="156">
        <f>(1-$S$3)*N278</f>
        <v>198.3</v>
      </c>
      <c r="P278" s="230">
        <f t="shared" si="80"/>
        <v>0</v>
      </c>
      <c r="Q278" s="74">
        <f t="shared" si="81"/>
        <v>0</v>
      </c>
      <c r="R278" s="114">
        <f t="shared" si="85"/>
        <v>198.3</v>
      </c>
    </row>
    <row r="279" spans="1:18" s="21" customFormat="1" ht="16.5" thickBot="1" x14ac:dyDescent="0.3">
      <c r="A279" s="81" t="s">
        <v>212</v>
      </c>
      <c r="B279" s="15">
        <f>SUM(B275:B278)</f>
        <v>25220.3</v>
      </c>
      <c r="C279" s="17">
        <f>SUM(C275:C278)</f>
        <v>25069.262334499577</v>
      </c>
      <c r="D279" s="15">
        <f>SUM(D275:D278)</f>
        <v>24613.200000000004</v>
      </c>
      <c r="E279" s="15">
        <f>E275+E277+E278</f>
        <v>23240.100000000002</v>
      </c>
      <c r="F279" s="17">
        <f t="shared" si="79"/>
        <v>1373.1000000000022</v>
      </c>
      <c r="G279" s="6">
        <f>IFERROR(((+E279-B279)/B279),0)</f>
        <v>-7.8516115985931847E-2</v>
      </c>
      <c r="H279" s="141">
        <f>SUM(H275:H278)</f>
        <v>22907.4</v>
      </c>
      <c r="I279" s="141">
        <f>SUM(I275:I278)</f>
        <v>22907.4</v>
      </c>
      <c r="J279" s="20">
        <f>(H279-E279)/E279</f>
        <v>-1.4315773167929599E-2</v>
      </c>
      <c r="K279" s="20">
        <f>(I279-E279)/E279</f>
        <v>-1.4315773167929599E-2</v>
      </c>
      <c r="L279" s="141">
        <f>SUM(L275:L278)</f>
        <v>23013.4</v>
      </c>
      <c r="M279" s="142">
        <f>SUM(M275:M278)</f>
        <v>23013.4</v>
      </c>
      <c r="N279" s="141">
        <f>SUM(N275:N278)</f>
        <v>22907.4</v>
      </c>
      <c r="O279" s="141">
        <f>SUM(O275:O278)</f>
        <v>22907.4</v>
      </c>
      <c r="P279" s="233">
        <f t="shared" si="80"/>
        <v>0</v>
      </c>
      <c r="Q279" s="107">
        <f t="shared" si="81"/>
        <v>0</v>
      </c>
      <c r="R279" s="141">
        <f>SUM(R275:R278)</f>
        <v>22907.4</v>
      </c>
    </row>
    <row r="280" spans="1:18" s="21" customFormat="1" x14ac:dyDescent="0.25">
      <c r="A280" s="71"/>
      <c r="B280" s="74"/>
      <c r="C280" s="93"/>
      <c r="D280" s="14"/>
      <c r="E280" s="16"/>
      <c r="F280" s="16"/>
      <c r="G280" s="7"/>
      <c r="H280" s="149" t="str">
        <f>IF(ISBLANK(E280),"",E280)</f>
        <v/>
      </c>
      <c r="I280" s="149"/>
      <c r="J280" s="3"/>
      <c r="K280" s="3"/>
      <c r="L280" s="149" t="s">
        <v>230</v>
      </c>
      <c r="M280" s="149" t="s">
        <v>230</v>
      </c>
      <c r="N280" s="149" t="str">
        <f>IF(ISBLANK(K280),"",K280)</f>
        <v/>
      </c>
      <c r="O280" s="149" t="str">
        <f>IF(ISBLANK(L280),"",L280)</f>
        <v/>
      </c>
      <c r="P280" s="230"/>
      <c r="Q280" s="74"/>
      <c r="R280" s="79"/>
    </row>
    <row r="281" spans="1:18" s="21" customFormat="1" x14ac:dyDescent="0.25">
      <c r="A281" s="69" t="s">
        <v>213</v>
      </c>
      <c r="B281" s="74"/>
      <c r="C281" s="93"/>
      <c r="D281" s="14"/>
      <c r="E281" s="16"/>
      <c r="F281" s="16"/>
      <c r="G281" s="7"/>
      <c r="H281" s="149"/>
      <c r="I281" s="149"/>
      <c r="J281" s="3"/>
      <c r="K281" s="3"/>
      <c r="L281" s="149" t="s">
        <v>230</v>
      </c>
      <c r="M281" s="149" t="s">
        <v>230</v>
      </c>
      <c r="N281" s="149"/>
      <c r="O281" s="149"/>
      <c r="P281" s="230"/>
      <c r="Q281" s="74"/>
      <c r="R281" s="74"/>
    </row>
    <row r="282" spans="1:18" s="21" customFormat="1" x14ac:dyDescent="0.25">
      <c r="A282" s="71" t="s">
        <v>133</v>
      </c>
      <c r="B282" s="74">
        <v>9945.2000000000007</v>
      </c>
      <c r="C282" s="93">
        <v>9885.6408436483798</v>
      </c>
      <c r="D282" s="14">
        <v>9704.6</v>
      </c>
      <c r="E282" s="16">
        <f>ROUND((D282-7.7)*0.95,1)</f>
        <v>9212.1</v>
      </c>
      <c r="F282" s="16">
        <f t="shared" si="79"/>
        <v>492.5</v>
      </c>
      <c r="G282" s="3">
        <f>IFERROR(((+E282-B282)/B282),0)</f>
        <v>-7.3713952459477969E-2</v>
      </c>
      <c r="H282" s="155">
        <f>ROUND('Formula I&amp;G'!C31/1000,1)</f>
        <v>9094.1</v>
      </c>
      <c r="I282" s="155">
        <f>H282+H283</f>
        <v>9367</v>
      </c>
      <c r="J282" s="19">
        <f>(H282-E282)/E282</f>
        <v>-1.2809240021276364E-2</v>
      </c>
      <c r="K282" s="19">
        <f>(I282-E282)/E282</f>
        <v>1.6814841349963593E-2</v>
      </c>
      <c r="L282" s="155">
        <v>9159.5</v>
      </c>
      <c r="M282" s="155">
        <f>L282+L283</f>
        <v>9417.2999999999993</v>
      </c>
      <c r="N282" s="155">
        <v>9094.1</v>
      </c>
      <c r="O282" s="155">
        <f>(1-$T$3)*'Formula I&amp;G'!C31/1000</f>
        <v>9094.1</v>
      </c>
      <c r="P282" s="230">
        <f t="shared" si="80"/>
        <v>0</v>
      </c>
      <c r="Q282" s="74">
        <f t="shared" si="81"/>
        <v>0</v>
      </c>
      <c r="R282" s="74">
        <f>O282</f>
        <v>9094.1</v>
      </c>
    </row>
    <row r="283" spans="1:18" s="21" customFormat="1" x14ac:dyDescent="0.25">
      <c r="A283" s="87" t="s">
        <v>214</v>
      </c>
      <c r="B283" s="91">
        <v>297.39999999999998</v>
      </c>
      <c r="C283" s="101">
        <v>295.61895053905681</v>
      </c>
      <c r="D283" s="26">
        <v>290.2</v>
      </c>
      <c r="E283" s="27">
        <f>ROUND(D283*0.95,1)</f>
        <v>275.7</v>
      </c>
      <c r="F283" s="27">
        <f t="shared" si="79"/>
        <v>14.5</v>
      </c>
      <c r="G283" s="28">
        <f>IFERROR(((+E283-B283)/B283),0)</f>
        <v>-7.2965702757229287E-2</v>
      </c>
      <c r="H283" s="156">
        <v>272.89999999999998</v>
      </c>
      <c r="I283" s="156">
        <v>0</v>
      </c>
      <c r="J283" s="28">
        <f>(H283-E283)/E283</f>
        <v>-1.01559666303954E-2</v>
      </c>
      <c r="K283" s="156">
        <v>0</v>
      </c>
      <c r="L283" s="156">
        <v>257.8</v>
      </c>
      <c r="M283" s="156">
        <v>0</v>
      </c>
      <c r="N283" s="156">
        <v>272.89999999999998</v>
      </c>
      <c r="O283" s="156">
        <f>(1-$S$3)*N283</f>
        <v>272.89999999999998</v>
      </c>
      <c r="P283" s="230">
        <f t="shared" si="80"/>
        <v>0</v>
      </c>
      <c r="Q283" s="74">
        <f t="shared" si="81"/>
        <v>0</v>
      </c>
      <c r="R283" s="74">
        <f t="shared" ref="R283:R284" si="86">O283</f>
        <v>272.89999999999998</v>
      </c>
    </row>
    <row r="284" spans="1:18" s="21" customFormat="1" ht="16.5" thickBot="1" x14ac:dyDescent="0.3">
      <c r="A284" s="71" t="s">
        <v>63</v>
      </c>
      <c r="B284" s="74">
        <v>0</v>
      </c>
      <c r="C284" s="93">
        <v>0</v>
      </c>
      <c r="D284" s="14">
        <v>0</v>
      </c>
      <c r="E284" s="16">
        <f>ROUND(D284*0.95,1)</f>
        <v>0</v>
      </c>
      <c r="F284" s="16">
        <f t="shared" si="79"/>
        <v>0</v>
      </c>
      <c r="G284" s="3">
        <f>IFERROR(((+E284-B284)/B284),0)</f>
        <v>0</v>
      </c>
      <c r="H284" s="149">
        <f>IF(ISBLANK(E284),"",E284)</f>
        <v>0</v>
      </c>
      <c r="I284" s="149">
        <v>0</v>
      </c>
      <c r="J284" s="149">
        <f>IF(ISBLANK(G284),"",G284)</f>
        <v>0</v>
      </c>
      <c r="K284" s="149">
        <v>0</v>
      </c>
      <c r="L284" s="149">
        <v>0</v>
      </c>
      <c r="M284" s="149">
        <v>0</v>
      </c>
      <c r="N284" s="149">
        <f>IF(ISBLANK(K284),"",K284)</f>
        <v>0</v>
      </c>
      <c r="O284" s="149">
        <f>(1-$S$3)*N284</f>
        <v>0</v>
      </c>
      <c r="P284" s="230"/>
      <c r="Q284" s="74"/>
      <c r="R284" s="114">
        <f t="shared" si="86"/>
        <v>0</v>
      </c>
    </row>
    <row r="285" spans="1:18" s="21" customFormat="1" ht="16.5" thickBot="1" x14ac:dyDescent="0.3">
      <c r="A285" s="81" t="s">
        <v>215</v>
      </c>
      <c r="B285" s="15">
        <f>SUM(B282:B284)</f>
        <v>10242.6</v>
      </c>
      <c r="C285" s="17">
        <f>SUM(C282:C284)</f>
        <v>10181.259794187437</v>
      </c>
      <c r="D285" s="15">
        <f>SUM(D282:D284)</f>
        <v>9994.8000000000011</v>
      </c>
      <c r="E285" s="15">
        <f>SUM(E282:E284)</f>
        <v>9487.8000000000011</v>
      </c>
      <c r="F285" s="17">
        <f t="shared" si="79"/>
        <v>507</v>
      </c>
      <c r="G285" s="6">
        <f>IFERROR(((+E285-B285)/B285),0)</f>
        <v>-7.3692226583094059E-2</v>
      </c>
      <c r="H285" s="141">
        <f>SUM(H282:H284)</f>
        <v>9367</v>
      </c>
      <c r="I285" s="141">
        <f>SUM(I282:I284)</f>
        <v>9367</v>
      </c>
      <c r="J285" s="20">
        <f>(H285-E285)/E285</f>
        <v>-1.2732140222180176E-2</v>
      </c>
      <c r="K285" s="20">
        <f>(I285-E285)/E285</f>
        <v>-1.2732140222180176E-2</v>
      </c>
      <c r="L285" s="141">
        <f>SUM(L282:L284)</f>
        <v>9417.2999999999993</v>
      </c>
      <c r="M285" s="142">
        <f>SUM(M282:M284)</f>
        <v>9417.2999999999993</v>
      </c>
      <c r="N285" s="141">
        <f>SUM(N282:N284)</f>
        <v>9367</v>
      </c>
      <c r="O285" s="141">
        <f>SUM(O282:O284)</f>
        <v>9367</v>
      </c>
      <c r="P285" s="233">
        <f t="shared" si="80"/>
        <v>0</v>
      </c>
      <c r="Q285" s="107">
        <f t="shared" si="81"/>
        <v>0</v>
      </c>
      <c r="R285" s="141">
        <f>SUM(R282:R284)</f>
        <v>9367</v>
      </c>
    </row>
    <row r="286" spans="1:18" s="21" customFormat="1" x14ac:dyDescent="0.25">
      <c r="A286" s="71"/>
      <c r="B286" s="74"/>
      <c r="C286" s="93"/>
      <c r="D286" s="14"/>
      <c r="E286" s="16"/>
      <c r="F286" s="16"/>
      <c r="G286" s="7"/>
      <c r="H286" s="149"/>
      <c r="I286" s="149"/>
      <c r="J286" s="3"/>
      <c r="K286" s="3"/>
      <c r="L286" s="149"/>
      <c r="M286" s="149"/>
      <c r="N286" s="149"/>
      <c r="O286" s="149"/>
      <c r="P286" s="230"/>
      <c r="Q286" s="74"/>
      <c r="R286" s="79"/>
    </row>
    <row r="287" spans="1:18" s="21" customFormat="1" x14ac:dyDescent="0.25">
      <c r="A287" s="69" t="s">
        <v>216</v>
      </c>
      <c r="B287" s="74"/>
      <c r="C287" s="93"/>
      <c r="D287" s="14"/>
      <c r="E287" s="16"/>
      <c r="F287" s="16"/>
      <c r="G287" s="7"/>
      <c r="H287" s="149"/>
      <c r="I287" s="149"/>
      <c r="J287" s="3"/>
      <c r="K287" s="3"/>
      <c r="L287" s="149"/>
      <c r="M287" s="149"/>
      <c r="N287" s="149"/>
      <c r="O287" s="149"/>
      <c r="P287" s="230"/>
      <c r="Q287" s="74"/>
      <c r="R287" s="74"/>
    </row>
    <row r="288" spans="1:18" s="21" customFormat="1" x14ac:dyDescent="0.25">
      <c r="A288" s="71" t="s">
        <v>133</v>
      </c>
      <c r="B288" s="74">
        <v>1388.4</v>
      </c>
      <c r="C288" s="93">
        <v>1380.0852418575203</v>
      </c>
      <c r="D288" s="14">
        <v>1388.4</v>
      </c>
      <c r="E288" s="16">
        <f>ROUND(D288*0.95,1)</f>
        <v>1319</v>
      </c>
      <c r="F288" s="16">
        <f t="shared" si="79"/>
        <v>69.400000000000091</v>
      </c>
      <c r="G288" s="3">
        <f>IFERROR(((+E288-B288)/B288),0)</f>
        <v>-4.998559492941522E-2</v>
      </c>
      <c r="H288" s="155">
        <v>1312.4</v>
      </c>
      <c r="I288" s="155">
        <v>1312.4</v>
      </c>
      <c r="J288" s="19">
        <f>(H288-E288)/E288</f>
        <v>-5.0037907505685432E-3</v>
      </c>
      <c r="K288" s="19">
        <f>(I288-E288)/E288</f>
        <v>-5.0037907505685432E-3</v>
      </c>
      <c r="L288" s="155">
        <v>1319</v>
      </c>
      <c r="M288" s="155">
        <v>1319</v>
      </c>
      <c r="N288" s="155">
        <v>1312.4</v>
      </c>
      <c r="O288" s="155">
        <f>(1-$U$3)*N288</f>
        <v>1312.4</v>
      </c>
      <c r="P288" s="230">
        <f t="shared" si="80"/>
        <v>0</v>
      </c>
      <c r="Q288" s="74">
        <f t="shared" si="81"/>
        <v>0</v>
      </c>
      <c r="R288" s="106">
        <f>O288</f>
        <v>1312.4</v>
      </c>
    </row>
    <row r="289" spans="1:20" s="21" customFormat="1" x14ac:dyDescent="0.25">
      <c r="A289" s="71" t="s">
        <v>34</v>
      </c>
      <c r="B289" s="74">
        <v>281.3</v>
      </c>
      <c r="C289" s="93">
        <v>279.61536915479718</v>
      </c>
      <c r="D289" s="14">
        <v>274.3</v>
      </c>
      <c r="E289" s="16">
        <f>ROUND(D289*0.95,1)</f>
        <v>260.60000000000002</v>
      </c>
      <c r="F289" s="16">
        <f t="shared" si="79"/>
        <v>13.699999999999989</v>
      </c>
      <c r="G289" s="3">
        <f>IFERROR(((+E289-B289)/B289),0)</f>
        <v>-7.3586917881265507E-2</v>
      </c>
      <c r="H289" s="149">
        <v>259.3</v>
      </c>
      <c r="I289" s="149">
        <v>259.3</v>
      </c>
      <c r="J289" s="3">
        <f>(H289-E289)/E289</f>
        <v>-4.9884881043745638E-3</v>
      </c>
      <c r="K289" s="3">
        <f>(I289-E289)/E289</f>
        <v>-4.9884881043745638E-3</v>
      </c>
      <c r="L289" s="149">
        <v>254.1</v>
      </c>
      <c r="M289" s="149">
        <v>254.1</v>
      </c>
      <c r="N289" s="149">
        <v>259.3</v>
      </c>
      <c r="O289" s="149">
        <f>(1-$U$3)*N289</f>
        <v>259.3</v>
      </c>
      <c r="P289" s="230">
        <f t="shared" si="80"/>
        <v>0</v>
      </c>
      <c r="Q289" s="74">
        <f t="shared" si="81"/>
        <v>0</v>
      </c>
      <c r="R289" s="74">
        <f t="shared" ref="R289:R290" si="87">O289</f>
        <v>259.3</v>
      </c>
    </row>
    <row r="290" spans="1:20" s="21" customFormat="1" ht="16.5" thickBot="1" x14ac:dyDescent="0.3">
      <c r="A290" s="71" t="s">
        <v>217</v>
      </c>
      <c r="B290" s="74">
        <v>1359.1</v>
      </c>
      <c r="C290" s="93">
        <v>1350.9607117606997</v>
      </c>
      <c r="D290" s="14">
        <v>1359.1</v>
      </c>
      <c r="E290" s="16">
        <f>ROUND(D290*0.95,1)</f>
        <v>1291.0999999999999</v>
      </c>
      <c r="F290" s="16">
        <f t="shared" si="79"/>
        <v>68</v>
      </c>
      <c r="G290" s="3">
        <f>IFERROR(((+E290-B290)/B290),0)</f>
        <v>-5.003311014642043E-2</v>
      </c>
      <c r="H290" s="149">
        <v>1284.7</v>
      </c>
      <c r="I290" s="149">
        <v>1284.7</v>
      </c>
      <c r="J290" s="3">
        <f>(H290-E290)/E290</f>
        <v>-4.9570133994267396E-3</v>
      </c>
      <c r="K290" s="3">
        <f>(I290-E290)/E290</f>
        <v>-4.9570133994267396E-3</v>
      </c>
      <c r="L290" s="149">
        <v>1291.0999999999999</v>
      </c>
      <c r="M290" s="149">
        <v>1291.0999999999999</v>
      </c>
      <c r="N290" s="149">
        <v>1284.7</v>
      </c>
      <c r="O290" s="149">
        <f>(1-$U$3)*N290</f>
        <v>1284.7</v>
      </c>
      <c r="P290" s="230">
        <f t="shared" si="80"/>
        <v>0</v>
      </c>
      <c r="Q290" s="74">
        <f t="shared" si="81"/>
        <v>0</v>
      </c>
      <c r="R290" s="74">
        <f t="shared" si="87"/>
        <v>1284.7</v>
      </c>
    </row>
    <row r="291" spans="1:20" s="21" customFormat="1" ht="16.5" thickBot="1" x14ac:dyDescent="0.3">
      <c r="A291" s="81" t="s">
        <v>218</v>
      </c>
      <c r="B291" s="15">
        <f>SUM(B288:B290)</f>
        <v>3028.8</v>
      </c>
      <c r="C291" s="17">
        <f>SUM(C288:C290)</f>
        <v>3010.6613227730172</v>
      </c>
      <c r="D291" s="15">
        <f>SUM(D288:D290)</f>
        <v>3021.8</v>
      </c>
      <c r="E291" s="15">
        <f>SUM(E288:E290)</f>
        <v>2870.7</v>
      </c>
      <c r="F291" s="17">
        <f t="shared" si="79"/>
        <v>151.10000000000036</v>
      </c>
      <c r="G291" s="6">
        <f>IFERROR(((+E291-B291)/B291),0)</f>
        <v>-5.2198890649762401E-2</v>
      </c>
      <c r="H291" s="141">
        <f>SUM(H288:H290)</f>
        <v>2856.4</v>
      </c>
      <c r="I291" s="141">
        <f>SUM(I288:I290)</f>
        <v>2856.4</v>
      </c>
      <c r="J291" s="20">
        <f>(H291-E291)/E291</f>
        <v>-4.981363430522078E-3</v>
      </c>
      <c r="K291" s="20">
        <f>(I291-E291)/E291</f>
        <v>-4.981363430522078E-3</v>
      </c>
      <c r="L291" s="141">
        <f>SUM(L288:L290)</f>
        <v>2864.2</v>
      </c>
      <c r="M291" s="142">
        <f>SUM(M288:M290)</f>
        <v>2864.2</v>
      </c>
      <c r="N291" s="141">
        <f>SUM(N288:N290)</f>
        <v>2856.4</v>
      </c>
      <c r="O291" s="141">
        <f>SUM(O288:O290)</f>
        <v>2856.4</v>
      </c>
      <c r="P291" s="233">
        <f t="shared" si="80"/>
        <v>0</v>
      </c>
      <c r="Q291" s="107">
        <f t="shared" si="81"/>
        <v>0</v>
      </c>
      <c r="R291" s="141">
        <f>SUM(R288:R290)</f>
        <v>2856.4</v>
      </c>
    </row>
    <row r="292" spans="1:20" s="21" customFormat="1" x14ac:dyDescent="0.25">
      <c r="A292" s="69"/>
      <c r="B292" s="74"/>
      <c r="C292" s="93"/>
      <c r="D292" s="14"/>
      <c r="E292" s="16"/>
      <c r="F292" s="16"/>
      <c r="G292" s="7"/>
      <c r="H292" s="149" t="str">
        <f>IF(ISBLANK(E292),"",E292)</f>
        <v/>
      </c>
      <c r="I292" s="149"/>
      <c r="J292" s="3"/>
      <c r="K292" s="3"/>
      <c r="L292" s="149" t="s">
        <v>230</v>
      </c>
      <c r="M292" s="149" t="s">
        <v>230</v>
      </c>
      <c r="N292" s="149" t="str">
        <f>IF(ISBLANK(K292),"",K292)</f>
        <v/>
      </c>
      <c r="O292" s="149" t="str">
        <f>IF(ISBLANK(L292),"",L292)</f>
        <v/>
      </c>
      <c r="P292" s="230"/>
      <c r="Q292" s="74"/>
      <c r="R292" s="74"/>
    </row>
    <row r="293" spans="1:20" s="21" customFormat="1" x14ac:dyDescent="0.25">
      <c r="A293" s="69" t="s">
        <v>219</v>
      </c>
      <c r="B293" s="74"/>
      <c r="C293" s="93"/>
      <c r="D293" s="14"/>
      <c r="E293" s="16"/>
      <c r="F293" s="16"/>
      <c r="G293" s="9"/>
      <c r="H293" s="149" t="str">
        <f>IF(ISBLANK(E293),"",E293)</f>
        <v/>
      </c>
      <c r="I293" s="149"/>
      <c r="J293" s="3"/>
      <c r="K293" s="3"/>
      <c r="L293" s="149" t="s">
        <v>230</v>
      </c>
      <c r="M293" s="149" t="s">
        <v>230</v>
      </c>
      <c r="N293" s="149" t="str">
        <f>IF(ISBLANK(K293),"",K293)</f>
        <v/>
      </c>
      <c r="O293" s="149" t="str">
        <f>IF(ISBLANK(L293),"",L293)</f>
        <v/>
      </c>
      <c r="P293" s="230"/>
      <c r="Q293" s="74"/>
      <c r="R293" s="74"/>
    </row>
    <row r="294" spans="1:20" s="21" customFormat="1" x14ac:dyDescent="0.25">
      <c r="A294" s="71" t="s">
        <v>133</v>
      </c>
      <c r="B294" s="74">
        <v>891.1</v>
      </c>
      <c r="C294" s="93">
        <v>885.7634392244571</v>
      </c>
      <c r="D294" s="14">
        <v>1041.0999999999999</v>
      </c>
      <c r="E294" s="16">
        <f>ROUND(D294*0.95,1)</f>
        <v>989</v>
      </c>
      <c r="F294" s="16">
        <f t="shared" si="79"/>
        <v>52.099999999999909</v>
      </c>
      <c r="G294" s="3">
        <f>IFERROR(((+E294-B294)/B294),0)</f>
        <v>0.10986421277073277</v>
      </c>
      <c r="H294" s="155">
        <v>984.1</v>
      </c>
      <c r="I294" s="155">
        <v>984.1</v>
      </c>
      <c r="J294" s="19">
        <f>(H294-E294)/E294</f>
        <v>-4.9544994944388044E-3</v>
      </c>
      <c r="K294" s="19">
        <f>(I294-E294)/E294</f>
        <v>-4.9544994944388044E-3</v>
      </c>
      <c r="L294" s="155">
        <v>989</v>
      </c>
      <c r="M294" s="155">
        <v>989</v>
      </c>
      <c r="N294" s="155">
        <v>984.1</v>
      </c>
      <c r="O294" s="155">
        <f>(1-$U$3)*N294</f>
        <v>984.1</v>
      </c>
      <c r="P294" s="230">
        <f t="shared" si="80"/>
        <v>0</v>
      </c>
      <c r="Q294" s="74">
        <f t="shared" si="81"/>
        <v>0</v>
      </c>
      <c r="R294" s="106">
        <f>O294</f>
        <v>984.1</v>
      </c>
    </row>
    <row r="295" spans="1:20" s="21" customFormat="1" x14ac:dyDescent="0.25">
      <c r="A295" s="71" t="s">
        <v>220</v>
      </c>
      <c r="B295" s="74">
        <v>382.9</v>
      </c>
      <c r="C295" s="93">
        <v>380.60691379087035</v>
      </c>
      <c r="D295" s="14">
        <v>382.9</v>
      </c>
      <c r="E295" s="16">
        <f>ROUND(D295*0.95,1)</f>
        <v>363.8</v>
      </c>
      <c r="F295" s="16">
        <f t="shared" si="79"/>
        <v>19.099999999999966</v>
      </c>
      <c r="G295" s="3">
        <f>IFERROR(((+E295-B295)/B295),0)</f>
        <v>-4.9882475842256378E-2</v>
      </c>
      <c r="H295" s="149">
        <v>361.9</v>
      </c>
      <c r="I295" s="149">
        <v>361.9</v>
      </c>
      <c r="J295" s="3">
        <f>(H295-E295)/E295</f>
        <v>-5.22264980758668E-3</v>
      </c>
      <c r="K295" s="3">
        <f>(I295-E295)/E295</f>
        <v>-5.22264980758668E-3</v>
      </c>
      <c r="L295" s="149">
        <v>363.8</v>
      </c>
      <c r="M295" s="149">
        <v>363.8</v>
      </c>
      <c r="N295" s="149">
        <v>361.9</v>
      </c>
      <c r="O295" s="149">
        <f>(1-$U$3)*N295</f>
        <v>361.9</v>
      </c>
      <c r="P295" s="230">
        <f t="shared" si="80"/>
        <v>0</v>
      </c>
      <c r="Q295" s="74">
        <f t="shared" si="81"/>
        <v>0</v>
      </c>
      <c r="R295" s="74">
        <f t="shared" ref="R295:R296" si="88">O295</f>
        <v>361.9</v>
      </c>
    </row>
    <row r="296" spans="1:20" s="21" customFormat="1" ht="16.5" thickBot="1" x14ac:dyDescent="0.3">
      <c r="A296" s="71" t="s">
        <v>221</v>
      </c>
      <c r="B296" s="74">
        <v>117.5</v>
      </c>
      <c r="C296" s="93">
        <v>116.79632376711223</v>
      </c>
      <c r="D296" s="14">
        <v>117.5</v>
      </c>
      <c r="E296" s="16">
        <f>ROUND(D296*0.95,1)</f>
        <v>111.6</v>
      </c>
      <c r="F296" s="16">
        <f t="shared" si="79"/>
        <v>5.9000000000000057</v>
      </c>
      <c r="G296" s="3">
        <f>IFERROR(((+E296-B296)/B296),0)</f>
        <v>-5.0212765957446857E-2</v>
      </c>
      <c r="H296" s="149">
        <v>111.1</v>
      </c>
      <c r="I296" s="149">
        <v>111.1</v>
      </c>
      <c r="J296" s="3">
        <v>-5.0000000000000001E-3</v>
      </c>
      <c r="K296" s="3">
        <v>-5.0000000000000001E-3</v>
      </c>
      <c r="L296" s="149">
        <v>111.6</v>
      </c>
      <c r="M296" s="149">
        <v>111.6</v>
      </c>
      <c r="N296" s="149">
        <v>111.1</v>
      </c>
      <c r="O296" s="149">
        <f>(1-$U$3)*N296</f>
        <v>111.1</v>
      </c>
      <c r="P296" s="230">
        <f t="shared" si="80"/>
        <v>0</v>
      </c>
      <c r="Q296" s="74">
        <f t="shared" si="81"/>
        <v>0</v>
      </c>
      <c r="R296" s="74">
        <f t="shared" si="88"/>
        <v>111.1</v>
      </c>
    </row>
    <row r="297" spans="1:20" s="21" customFormat="1" ht="16.5" thickBot="1" x14ac:dyDescent="0.3">
      <c r="A297" s="81" t="s">
        <v>222</v>
      </c>
      <c r="B297" s="15">
        <f>SUM(B294:B296)</f>
        <v>1391.5</v>
      </c>
      <c r="C297" s="17">
        <f>SUM(C294:C296)</f>
        <v>1383.1666767824397</v>
      </c>
      <c r="D297" s="15">
        <f>SUM(D294:D296)</f>
        <v>1541.5</v>
      </c>
      <c r="E297" s="15">
        <f>SUM(E294:E296)</f>
        <v>1464.3999999999999</v>
      </c>
      <c r="F297" s="17">
        <f t="shared" si="79"/>
        <v>77.100000000000136</v>
      </c>
      <c r="G297" s="6">
        <f>IFERROR(((+E297-B297)/B297),0)</f>
        <v>5.2389507725476007E-2</v>
      </c>
      <c r="H297" s="141">
        <f>SUM(H294:H296)</f>
        <v>1457.1</v>
      </c>
      <c r="I297" s="141">
        <f>SUM(I294:I296)</f>
        <v>1457.1</v>
      </c>
      <c r="J297" s="20">
        <f>(H297-E297)/E297</f>
        <v>-4.9849767822998875E-3</v>
      </c>
      <c r="K297" s="20">
        <f>(I297-E297)/E297</f>
        <v>-4.9849767822998875E-3</v>
      </c>
      <c r="L297" s="141">
        <f>SUM(L294:L296)</f>
        <v>1464.3999999999999</v>
      </c>
      <c r="M297" s="142">
        <f>SUM(M294:M296)</f>
        <v>1464.3999999999999</v>
      </c>
      <c r="N297" s="141">
        <f>SUM(N294:N296)</f>
        <v>1457.1</v>
      </c>
      <c r="O297" s="141">
        <f>SUM(O294:O296)</f>
        <v>1457.1</v>
      </c>
      <c r="P297" s="233">
        <f t="shared" si="80"/>
        <v>0</v>
      </c>
      <c r="Q297" s="107">
        <f t="shared" si="81"/>
        <v>0</v>
      </c>
      <c r="R297" s="141">
        <f>SUM(R294:R296)</f>
        <v>1457.1</v>
      </c>
    </row>
    <row r="298" spans="1:20" s="21" customFormat="1" x14ac:dyDescent="0.25">
      <c r="A298" s="69"/>
      <c r="B298" s="74"/>
      <c r="C298" s="93"/>
      <c r="D298" s="14"/>
      <c r="E298" s="16"/>
      <c r="F298" s="16"/>
      <c r="G298" s="9"/>
      <c r="H298" s="149" t="str">
        <f>IF(ISBLANK(E298),"",E298)</f>
        <v/>
      </c>
      <c r="I298" s="149"/>
      <c r="J298" s="3"/>
      <c r="K298" s="3"/>
      <c r="L298" s="149" t="s">
        <v>230</v>
      </c>
      <c r="M298" s="149" t="s">
        <v>230</v>
      </c>
      <c r="N298" s="149" t="str">
        <f>IF(ISBLANK(K298),"",K298)</f>
        <v/>
      </c>
      <c r="O298" s="149" t="str">
        <f>IF(ISBLANK(L298),"",L298)</f>
        <v/>
      </c>
      <c r="P298" s="229"/>
      <c r="Q298" s="79"/>
      <c r="R298" s="74"/>
    </row>
    <row r="299" spans="1:20" s="21" customFormat="1" x14ac:dyDescent="0.25">
      <c r="A299" s="69" t="s">
        <v>223</v>
      </c>
      <c r="B299" s="74"/>
      <c r="C299" s="93"/>
      <c r="D299" s="14"/>
      <c r="E299" s="16"/>
      <c r="F299" s="16"/>
      <c r="G299" s="7"/>
      <c r="H299" s="149" t="str">
        <f>IF(ISBLANK(E299),"",E299)</f>
        <v/>
      </c>
      <c r="I299" s="149"/>
      <c r="J299" s="3"/>
      <c r="K299" s="3"/>
      <c r="L299" s="149" t="s">
        <v>230</v>
      </c>
      <c r="M299" s="149" t="s">
        <v>230</v>
      </c>
      <c r="N299" s="149" t="str">
        <f>IF(ISBLANK(K299),"",K299)</f>
        <v/>
      </c>
      <c r="O299" s="149" t="str">
        <f>IF(ISBLANK(L299),"",L299)</f>
        <v/>
      </c>
      <c r="P299" s="230"/>
      <c r="Q299" s="74"/>
      <c r="R299" s="74"/>
    </row>
    <row r="300" spans="1:20" s="21" customFormat="1" x14ac:dyDescent="0.25">
      <c r="A300" s="71" t="s">
        <v>133</v>
      </c>
      <c r="B300" s="74">
        <v>4040.6</v>
      </c>
      <c r="C300" s="93">
        <v>4016.4019218161161</v>
      </c>
      <c r="D300" s="14">
        <v>4040.6</v>
      </c>
      <c r="E300" s="16">
        <f>ROUND(D300*0.95,1)</f>
        <v>3838.6</v>
      </c>
      <c r="F300" s="16">
        <f t="shared" si="79"/>
        <v>202</v>
      </c>
      <c r="G300" s="3">
        <f>IFERROR(((+E300-B300)/B300),0)</f>
        <v>-4.9992575360095035E-2</v>
      </c>
      <c r="H300" s="155">
        <v>3819.3</v>
      </c>
      <c r="I300" s="155">
        <v>3819.3</v>
      </c>
      <c r="J300" s="19">
        <f>(H300-E300)/E300</f>
        <v>-5.027874746001075E-3</v>
      </c>
      <c r="K300" s="19">
        <f>(I300-E300)/E300</f>
        <v>-5.027874746001075E-3</v>
      </c>
      <c r="L300" s="155">
        <v>3838.6</v>
      </c>
      <c r="M300" s="155">
        <v>3838.6</v>
      </c>
      <c r="N300" s="155">
        <v>3819.3</v>
      </c>
      <c r="O300" s="155">
        <f>(1-$U$3)*N300</f>
        <v>3819.3</v>
      </c>
      <c r="P300" s="230">
        <f t="shared" si="80"/>
        <v>0</v>
      </c>
      <c r="Q300" s="74">
        <f t="shared" si="81"/>
        <v>0</v>
      </c>
      <c r="R300" s="74">
        <f>O300</f>
        <v>3819.3</v>
      </c>
    </row>
    <row r="301" spans="1:20" s="21" customFormat="1" ht="16.5" thickBot="1" x14ac:dyDescent="0.3">
      <c r="A301" s="71" t="s">
        <v>224</v>
      </c>
      <c r="B301" s="74">
        <v>250.3</v>
      </c>
      <c r="C301" s="93">
        <v>248.80101990560163</v>
      </c>
      <c r="D301" s="14">
        <v>250.3</v>
      </c>
      <c r="E301" s="16">
        <f>ROUND(D301*0.95,1)</f>
        <v>237.8</v>
      </c>
      <c r="F301" s="16">
        <f t="shared" si="79"/>
        <v>12.5</v>
      </c>
      <c r="G301" s="3">
        <f>IFERROR(((+E301-B301)/B301),0)</f>
        <v>-4.9940071913703553E-2</v>
      </c>
      <c r="H301" s="149">
        <v>236.6</v>
      </c>
      <c r="I301" s="149">
        <v>236.6</v>
      </c>
      <c r="J301" s="3">
        <f>(H301-E301)/E301</f>
        <v>-5.0462573591253867E-3</v>
      </c>
      <c r="K301" s="3">
        <f>(I301-E301)/E301</f>
        <v>-5.0462573591253867E-3</v>
      </c>
      <c r="L301" s="149">
        <v>237.8</v>
      </c>
      <c r="M301" s="149">
        <v>237.8</v>
      </c>
      <c r="N301" s="149">
        <v>236.6</v>
      </c>
      <c r="O301" s="149">
        <f>(1-$U$3)*N301</f>
        <v>236.6</v>
      </c>
      <c r="P301" s="231">
        <f t="shared" si="80"/>
        <v>0</v>
      </c>
      <c r="Q301" s="114">
        <f t="shared" si="81"/>
        <v>0</v>
      </c>
      <c r="R301" s="74">
        <f>O301</f>
        <v>236.6</v>
      </c>
    </row>
    <row r="302" spans="1:20" s="21" customFormat="1" ht="16.5" thickBot="1" x14ac:dyDescent="0.3">
      <c r="A302" s="81" t="s">
        <v>225</v>
      </c>
      <c r="B302" s="15">
        <f>SUM(B300:B301)</f>
        <v>4290.8999999999996</v>
      </c>
      <c r="C302" s="17">
        <f>SUM(C300:C301)</f>
        <v>4265.2029417217182</v>
      </c>
      <c r="D302" s="15">
        <f>SUM(D300:D301)</f>
        <v>4290.8999999999996</v>
      </c>
      <c r="E302" s="15">
        <f>SUM(E300:E301)</f>
        <v>4076.4</v>
      </c>
      <c r="F302" s="17">
        <f t="shared" si="79"/>
        <v>214.49999999999955</v>
      </c>
      <c r="G302" s="6">
        <f>IFERROR(((+E302-B302)/B302),0)</f>
        <v>-4.9989512689645424E-2</v>
      </c>
      <c r="H302" s="141">
        <f>SUM(H300:H301)</f>
        <v>4055.9</v>
      </c>
      <c r="I302" s="141">
        <f>SUM(I300:I301)</f>
        <v>4055.9</v>
      </c>
      <c r="J302" s="20">
        <f>(H302-E302)/E302</f>
        <v>-5.0289471101952702E-3</v>
      </c>
      <c r="K302" s="20">
        <f>(I302-E302)/E302</f>
        <v>-5.0289471101952702E-3</v>
      </c>
      <c r="L302" s="141">
        <f>SUM(L300:L301)</f>
        <v>4076.4</v>
      </c>
      <c r="M302" s="142">
        <f>SUM(M300:M301)</f>
        <v>4076.4</v>
      </c>
      <c r="N302" s="141">
        <f>SUM(N300:N301)</f>
        <v>4055.9</v>
      </c>
      <c r="O302" s="141">
        <f>SUM(O300:O301)</f>
        <v>4055.9</v>
      </c>
      <c r="P302" s="233">
        <f t="shared" si="80"/>
        <v>0</v>
      </c>
      <c r="Q302" s="107">
        <f t="shared" si="81"/>
        <v>0</v>
      </c>
      <c r="R302" s="141">
        <f>SUM(R300:R301)</f>
        <v>4055.9</v>
      </c>
    </row>
    <row r="303" spans="1:20" s="21" customFormat="1" ht="16.5" thickBot="1" x14ac:dyDescent="0.3">
      <c r="A303" s="69"/>
      <c r="B303" s="74"/>
      <c r="C303" s="93"/>
      <c r="D303" s="14"/>
      <c r="E303" s="16"/>
      <c r="F303" s="16"/>
      <c r="G303" s="7"/>
      <c r="H303" s="149"/>
      <c r="I303" s="149"/>
      <c r="J303" s="3"/>
      <c r="K303" s="3"/>
      <c r="L303" s="149"/>
      <c r="M303" s="149"/>
      <c r="N303" s="149"/>
      <c r="O303" s="149"/>
      <c r="P303" s="230"/>
      <c r="Q303" s="74"/>
      <c r="R303" s="74"/>
    </row>
    <row r="304" spans="1:20" s="21" customFormat="1" ht="16.5" thickBot="1" x14ac:dyDescent="0.3">
      <c r="A304" s="81" t="s">
        <v>26</v>
      </c>
      <c r="B304" s="15">
        <f>B302+B297+B291+B285+B279+B272+B263+B255+B246+B240+B230+B218+B200+B178+B166+B155+B120+B101+B64</f>
        <v>848509.89999999991</v>
      </c>
      <c r="C304" s="15">
        <f>C302+C297+C291+C285+C279+C272+C263+C255+C246+C240+C230+C218+C200+C178+C166+C155+C120+C101+C64</f>
        <v>843427.99066755013</v>
      </c>
      <c r="D304" s="75">
        <f>D302+D297+D291+D285+D279+D272+D263+D255+D246+D240+D230+D218+D200+D178+D166+D155+D120+D101+D64</f>
        <v>828841.40000000014</v>
      </c>
      <c r="E304" s="15">
        <f>E302+E297+E291+E285+E279+E272+E263+E255+E246+E240+E230+E218+E200+E178+E166+E155+E120+E101+E64</f>
        <v>786867.19999999995</v>
      </c>
      <c r="F304" s="15">
        <f>D304-E304</f>
        <v>41974.200000000186</v>
      </c>
      <c r="G304" s="6">
        <f>IFERROR(((+E304-B304)/B304),0)</f>
        <v>-7.2648180062483608E-2</v>
      </c>
      <c r="H304" s="141">
        <f>SUM(H302+H297+H291+H285+H279+H272+H263+H255+H246+H240+H230+H218+H200+H178+H166+H155+H121+H64)</f>
        <v>779295.09999999986</v>
      </c>
      <c r="I304" s="141">
        <f>SUM(I302+I297+I291+I285+I279+I272+I263+I255+I246+I240+I230+I218+I200+I178+I166+I155+I121+I64)</f>
        <v>779295.09999999986</v>
      </c>
      <c r="J304" s="20">
        <f>(H304-E304)/E304</f>
        <v>-9.6230977730423807E-3</v>
      </c>
      <c r="K304" s="20">
        <f>(I304-E304)/E304</f>
        <v>-9.6230977730423807E-3</v>
      </c>
      <c r="L304" s="141">
        <f>SUM(L302+L297+L291+L285+L279+L272+L263+L255+L246+L240+L230+L218+L200+L178+L166+L155+L121+L64)</f>
        <v>781876.8</v>
      </c>
      <c r="M304" s="142">
        <f>SUM(M302+M297+M291+M285+M279+M272+M263+M255+M246+M240+M230+M218+M200+M178+M166+M155+M121+M64)</f>
        <v>781876.8</v>
      </c>
      <c r="N304" s="141">
        <f>SUM(N302+N297+N291+N285+N279+N272+N263+N255+N246+N240+N230+N218+N200+N178+N166+N155+N121+N64)</f>
        <v>779295.09999999986</v>
      </c>
      <c r="O304" s="141">
        <f>SUM(O302+O297+O291+O285+O279+O272+O263+O255+O246+O240+O230+O218+O200+O178+O166+O155+O121+O64)</f>
        <v>779345.09999999986</v>
      </c>
      <c r="P304" s="233">
        <f t="shared" si="80"/>
        <v>-6.4160547140534874E-5</v>
      </c>
      <c r="Q304" s="107">
        <f t="shared" si="81"/>
        <v>50</v>
      </c>
      <c r="R304" s="141">
        <f>SUM(R302+R297+R291+R285+R279+R272+R263+R255+R246+R240+R230+R218+R200+R178+R166+R155+R121+R64)</f>
        <v>779845.09999999986</v>
      </c>
      <c r="T304" s="164">
        <f>N304-O304</f>
        <v>-50</v>
      </c>
    </row>
    <row r="305" spans="1:18" s="21" customFormat="1" x14ac:dyDescent="0.25">
      <c r="A305" s="1"/>
      <c r="D305" s="24"/>
      <c r="E305" s="24"/>
      <c r="H305" s="162"/>
      <c r="I305" s="162"/>
      <c r="J305" s="172"/>
      <c r="K305" s="172"/>
      <c r="L305" s="162"/>
      <c r="M305" s="162"/>
      <c r="N305" s="218" t="b">
        <f>N304=779295.1</f>
        <v>1</v>
      </c>
      <c r="O305" s="218"/>
      <c r="P305" s="25"/>
      <c r="Q305" s="24"/>
      <c r="R305" s="24"/>
    </row>
    <row r="306" spans="1:18" s="21" customFormat="1" x14ac:dyDescent="0.25">
      <c r="A306" s="1"/>
      <c r="B306" s="24"/>
      <c r="D306" s="24"/>
      <c r="E306" s="24"/>
      <c r="H306" s="162"/>
      <c r="I306" s="162"/>
      <c r="J306" s="172"/>
      <c r="K306" s="172"/>
      <c r="L306" s="162"/>
      <c r="M306" s="162"/>
      <c r="N306" s="218" t="s">
        <v>306</v>
      </c>
      <c r="O306" s="218"/>
      <c r="P306" s="172"/>
      <c r="Q306" s="219"/>
      <c r="R306" s="219"/>
    </row>
    <row r="307" spans="1:18" s="21" customFormat="1" x14ac:dyDescent="0.25">
      <c r="B307" s="24"/>
      <c r="C307" s="24"/>
      <c r="D307" s="24"/>
      <c r="E307" s="24"/>
      <c r="F307" s="24"/>
      <c r="G307" s="25"/>
      <c r="H307" s="162"/>
      <c r="I307" s="162"/>
      <c r="J307" s="172"/>
      <c r="K307" s="172"/>
      <c r="L307" s="162"/>
      <c r="M307" s="162"/>
      <c r="N307" s="162"/>
      <c r="O307" s="162"/>
      <c r="P307" s="25"/>
      <c r="Q307" s="24"/>
      <c r="R307" s="24"/>
    </row>
    <row r="308" spans="1:18" s="21" customFormat="1" x14ac:dyDescent="0.25">
      <c r="B308" s="24"/>
      <c r="C308" s="24"/>
      <c r="D308" s="24"/>
      <c r="E308" s="24"/>
      <c r="F308" s="24"/>
      <c r="G308" s="25"/>
      <c r="H308" s="162"/>
      <c r="I308" s="162"/>
      <c r="J308" s="172"/>
      <c r="K308" s="172"/>
      <c r="L308" s="162"/>
      <c r="M308" s="162"/>
      <c r="N308" s="162"/>
      <c r="O308" s="162"/>
      <c r="P308" s="25"/>
      <c r="Q308" s="24"/>
      <c r="R308" s="24"/>
    </row>
    <row r="309" spans="1:18" s="21" customFormat="1" x14ac:dyDescent="0.25">
      <c r="B309" s="24"/>
      <c r="C309" s="24"/>
      <c r="D309" s="24"/>
      <c r="E309" s="24"/>
      <c r="F309" s="24"/>
      <c r="G309" s="25"/>
      <c r="H309" s="162"/>
      <c r="I309" s="162"/>
      <c r="J309" s="172"/>
      <c r="K309" s="172"/>
      <c r="L309" s="162"/>
      <c r="M309" s="162"/>
      <c r="N309" s="162"/>
      <c r="O309" s="162"/>
      <c r="P309" s="25"/>
      <c r="Q309" s="24"/>
      <c r="R309" s="24"/>
    </row>
    <row r="310" spans="1:18" s="21" customFormat="1" x14ac:dyDescent="0.25">
      <c r="B310" s="24"/>
      <c r="C310" s="24"/>
      <c r="D310" s="24"/>
      <c r="E310" s="24"/>
      <c r="F310" s="24"/>
      <c r="G310" s="25"/>
      <c r="H310" s="162"/>
      <c r="I310" s="162"/>
      <c r="J310" s="172"/>
      <c r="K310" s="172"/>
      <c r="L310" s="162"/>
      <c r="M310" s="162"/>
      <c r="N310" s="162"/>
      <c r="O310" s="162"/>
      <c r="P310" s="25"/>
      <c r="Q310" s="24"/>
      <c r="R310" s="24"/>
    </row>
    <row r="311" spans="1:18" s="21" customFormat="1" x14ac:dyDescent="0.25">
      <c r="B311" s="24"/>
      <c r="C311" s="24"/>
      <c r="D311" s="24"/>
      <c r="E311" s="24"/>
      <c r="F311" s="24"/>
      <c r="G311" s="25"/>
      <c r="H311" s="162"/>
      <c r="I311" s="162"/>
      <c r="J311" s="172"/>
      <c r="K311" s="172"/>
      <c r="L311" s="162"/>
      <c r="M311" s="162"/>
      <c r="N311" s="162"/>
      <c r="O311" s="162"/>
      <c r="P311" s="25"/>
      <c r="Q311" s="24"/>
      <c r="R311" s="24"/>
    </row>
    <row r="312" spans="1:18" s="21" customFormat="1" x14ac:dyDescent="0.25">
      <c r="B312" s="24"/>
      <c r="C312" s="24"/>
      <c r="D312" s="24"/>
      <c r="E312" s="24"/>
      <c r="F312" s="24"/>
      <c r="G312" s="25"/>
      <c r="H312" s="162"/>
      <c r="I312" s="162"/>
      <c r="J312" s="172"/>
      <c r="K312" s="172"/>
      <c r="L312" s="162"/>
      <c r="M312" s="162"/>
      <c r="N312" s="162"/>
      <c r="O312" s="162"/>
      <c r="P312" s="25"/>
      <c r="Q312" s="24"/>
      <c r="R312" s="24"/>
    </row>
    <row r="313" spans="1:18" s="21" customFormat="1" x14ac:dyDescent="0.25">
      <c r="B313" s="24"/>
      <c r="C313" s="24"/>
      <c r="D313" s="24"/>
      <c r="E313" s="24"/>
      <c r="F313" s="24"/>
      <c r="G313" s="25"/>
      <c r="H313" s="162"/>
      <c r="I313" s="162"/>
      <c r="J313" s="172"/>
      <c r="K313" s="172"/>
      <c r="L313" s="162"/>
      <c r="M313" s="162"/>
      <c r="N313" s="162"/>
      <c r="O313" s="162"/>
      <c r="P313" s="25"/>
      <c r="Q313" s="24"/>
      <c r="R313" s="24"/>
    </row>
    <row r="314" spans="1:18" s="21" customFormat="1" x14ac:dyDescent="0.25">
      <c r="B314" s="24"/>
      <c r="C314" s="24"/>
      <c r="D314" s="24"/>
      <c r="E314" s="24"/>
      <c r="F314" s="24"/>
      <c r="G314" s="25"/>
      <c r="H314" s="162"/>
      <c r="I314" s="162"/>
      <c r="J314" s="172"/>
      <c r="K314" s="172"/>
      <c r="L314" s="162"/>
      <c r="M314" s="162"/>
      <c r="N314" s="162"/>
      <c r="O314" s="162"/>
      <c r="P314" s="25"/>
      <c r="Q314" s="24"/>
      <c r="R314" s="24"/>
    </row>
    <row r="315" spans="1:18" s="21" customFormat="1" x14ac:dyDescent="0.25">
      <c r="B315" s="24"/>
      <c r="C315" s="24"/>
      <c r="D315" s="24"/>
      <c r="E315" s="24"/>
      <c r="F315" s="24"/>
      <c r="G315" s="25"/>
      <c r="H315" s="162"/>
      <c r="I315" s="162"/>
      <c r="J315" s="172"/>
      <c r="K315" s="172"/>
      <c r="L315" s="162"/>
      <c r="M315" s="162"/>
      <c r="N315" s="162"/>
      <c r="O315" s="162"/>
      <c r="P315" s="25"/>
      <c r="Q315" s="24"/>
      <c r="R315" s="24"/>
    </row>
    <row r="316" spans="1:18" s="21" customFormat="1" x14ac:dyDescent="0.25">
      <c r="B316" s="24"/>
      <c r="C316" s="24"/>
      <c r="D316" s="24"/>
      <c r="E316" s="24"/>
      <c r="F316" s="24"/>
      <c r="G316" s="25"/>
      <c r="H316" s="162"/>
      <c r="I316" s="162"/>
      <c r="J316" s="172"/>
      <c r="K316" s="172"/>
      <c r="L316" s="162"/>
      <c r="M316" s="162"/>
      <c r="N316" s="162"/>
      <c r="O316" s="162"/>
      <c r="P316" s="25"/>
      <c r="Q316" s="24"/>
      <c r="R316" s="24"/>
    </row>
    <row r="317" spans="1:18" s="21" customFormat="1" x14ac:dyDescent="0.25">
      <c r="B317" s="24"/>
      <c r="C317" s="24"/>
      <c r="D317" s="24"/>
      <c r="E317" s="24"/>
      <c r="F317" s="24"/>
      <c r="G317" s="25"/>
      <c r="H317" s="162"/>
      <c r="I317" s="162"/>
      <c r="J317" s="172"/>
      <c r="K317" s="172"/>
      <c r="L317" s="162"/>
      <c r="M317" s="162"/>
      <c r="N317" s="162"/>
      <c r="O317" s="162"/>
      <c r="P317" s="25"/>
      <c r="Q317" s="24"/>
      <c r="R317" s="24"/>
    </row>
    <row r="318" spans="1:18" s="21" customFormat="1" x14ac:dyDescent="0.25">
      <c r="B318" s="24"/>
      <c r="C318" s="24"/>
      <c r="D318" s="24"/>
      <c r="E318" s="24"/>
      <c r="F318" s="24"/>
      <c r="G318" s="25"/>
      <c r="H318" s="162"/>
      <c r="I318" s="162"/>
      <c r="J318" s="172"/>
      <c r="K318" s="172"/>
      <c r="L318" s="162"/>
      <c r="M318" s="162"/>
      <c r="N318" s="162"/>
      <c r="O318" s="162"/>
      <c r="P318" s="25"/>
      <c r="Q318" s="24"/>
      <c r="R318" s="24"/>
    </row>
    <row r="319" spans="1:18" s="21" customFormat="1" x14ac:dyDescent="0.25">
      <c r="B319" s="24"/>
      <c r="C319" s="24"/>
      <c r="D319" s="24"/>
      <c r="E319" s="24"/>
      <c r="F319" s="24"/>
      <c r="G319" s="25"/>
      <c r="H319" s="162"/>
      <c r="I319" s="162"/>
      <c r="J319" s="172"/>
      <c r="K319" s="172"/>
      <c r="L319" s="162"/>
      <c r="M319" s="162"/>
      <c r="N319" s="162"/>
      <c r="O319" s="162"/>
      <c r="P319" s="25"/>
      <c r="Q319" s="24"/>
      <c r="R319" s="24"/>
    </row>
    <row r="320" spans="1:18" s="21" customFormat="1" x14ac:dyDescent="0.25">
      <c r="B320" s="24"/>
      <c r="C320" s="24"/>
      <c r="D320" s="24"/>
      <c r="E320" s="24"/>
      <c r="F320" s="24"/>
      <c r="G320" s="25"/>
      <c r="H320" s="162"/>
      <c r="I320" s="162"/>
      <c r="J320" s="172"/>
      <c r="K320" s="172"/>
      <c r="L320" s="162"/>
      <c r="M320" s="162"/>
      <c r="N320" s="162"/>
      <c r="O320" s="162"/>
      <c r="P320" s="25"/>
      <c r="Q320" s="24"/>
      <c r="R320" s="24"/>
    </row>
    <row r="321" spans="2:18" s="21" customFormat="1" x14ac:dyDescent="0.25">
      <c r="B321" s="24"/>
      <c r="C321" s="24"/>
      <c r="D321" s="24"/>
      <c r="E321" s="24"/>
      <c r="F321" s="24"/>
      <c r="G321" s="25"/>
      <c r="H321" s="162"/>
      <c r="I321" s="162"/>
      <c r="J321" s="172"/>
      <c r="K321" s="172"/>
      <c r="L321" s="162"/>
      <c r="M321" s="162"/>
      <c r="N321" s="162"/>
      <c r="O321" s="162"/>
      <c r="P321" s="25"/>
      <c r="Q321" s="24"/>
      <c r="R321" s="24"/>
    </row>
    <row r="322" spans="2:18" s="21" customFormat="1" x14ac:dyDescent="0.25">
      <c r="B322" s="24"/>
      <c r="C322" s="24"/>
      <c r="D322" s="24"/>
      <c r="E322" s="24"/>
      <c r="F322" s="24"/>
      <c r="G322" s="25"/>
      <c r="H322" s="162"/>
      <c r="I322" s="162"/>
      <c r="J322" s="172"/>
      <c r="K322" s="172"/>
      <c r="L322" s="162"/>
      <c r="M322" s="162"/>
      <c r="N322" s="162"/>
      <c r="O322" s="162"/>
      <c r="P322" s="25"/>
      <c r="Q322" s="24"/>
      <c r="R322" s="24"/>
    </row>
    <row r="323" spans="2:18" s="21" customFormat="1" x14ac:dyDescent="0.25">
      <c r="B323" s="24"/>
      <c r="C323" s="24"/>
      <c r="D323" s="24"/>
      <c r="E323" s="24"/>
      <c r="F323" s="24"/>
      <c r="G323" s="25"/>
      <c r="H323" s="162"/>
      <c r="I323" s="162"/>
      <c r="J323" s="172"/>
      <c r="K323" s="172"/>
      <c r="L323" s="162"/>
      <c r="M323" s="162"/>
      <c r="N323" s="162"/>
      <c r="O323" s="162"/>
      <c r="P323" s="25"/>
      <c r="Q323" s="24"/>
      <c r="R323" s="24"/>
    </row>
    <row r="324" spans="2:18" s="21" customFormat="1" x14ac:dyDescent="0.25">
      <c r="B324" s="24"/>
      <c r="C324" s="24"/>
      <c r="D324" s="24"/>
      <c r="E324" s="24"/>
      <c r="F324" s="24"/>
      <c r="G324" s="25"/>
      <c r="H324" s="162"/>
      <c r="I324" s="162"/>
      <c r="J324" s="172"/>
      <c r="K324" s="172"/>
      <c r="L324" s="162"/>
      <c r="M324" s="162"/>
      <c r="N324" s="162"/>
      <c r="O324" s="162"/>
      <c r="P324" s="25"/>
      <c r="Q324" s="24"/>
      <c r="R324" s="24"/>
    </row>
    <row r="325" spans="2:18" s="21" customFormat="1" x14ac:dyDescent="0.25">
      <c r="B325" s="24"/>
      <c r="C325" s="24"/>
      <c r="D325" s="24"/>
      <c r="E325" s="24"/>
      <c r="F325" s="24"/>
      <c r="G325" s="25"/>
      <c r="H325" s="162"/>
      <c r="I325" s="162"/>
      <c r="J325" s="172"/>
      <c r="K325" s="172"/>
      <c r="L325" s="162"/>
      <c r="M325" s="162"/>
      <c r="N325" s="162"/>
      <c r="O325" s="162"/>
      <c r="P325" s="25"/>
      <c r="Q325" s="24"/>
      <c r="R325" s="24"/>
    </row>
    <row r="326" spans="2:18" s="21" customFormat="1" x14ac:dyDescent="0.25">
      <c r="B326" s="24"/>
      <c r="C326" s="24"/>
      <c r="D326" s="24"/>
      <c r="E326" s="24"/>
      <c r="F326" s="24"/>
      <c r="G326" s="25"/>
      <c r="H326" s="162"/>
      <c r="I326" s="162"/>
      <c r="J326" s="172"/>
      <c r="K326" s="172"/>
      <c r="L326" s="162"/>
      <c r="M326" s="162"/>
      <c r="N326" s="162"/>
      <c r="O326" s="162"/>
      <c r="P326" s="25"/>
      <c r="Q326" s="24"/>
      <c r="R326" s="24"/>
    </row>
    <row r="327" spans="2:18" s="21" customFormat="1" x14ac:dyDescent="0.25">
      <c r="B327" s="24"/>
      <c r="C327" s="24"/>
      <c r="D327" s="24"/>
      <c r="E327" s="24"/>
      <c r="F327" s="24"/>
      <c r="G327" s="25"/>
      <c r="H327" s="162"/>
      <c r="I327" s="162"/>
      <c r="J327" s="172"/>
      <c r="K327" s="172"/>
      <c r="L327" s="162"/>
      <c r="M327" s="162"/>
      <c r="N327" s="162"/>
      <c r="O327" s="162"/>
      <c r="P327" s="25"/>
      <c r="Q327" s="24"/>
      <c r="R327" s="24"/>
    </row>
    <row r="328" spans="2:18" s="21" customFormat="1" x14ac:dyDescent="0.25">
      <c r="B328" s="24"/>
      <c r="C328" s="24"/>
      <c r="D328" s="24"/>
      <c r="E328" s="24"/>
      <c r="F328" s="24"/>
      <c r="G328" s="25"/>
      <c r="H328" s="162"/>
      <c r="I328" s="162"/>
      <c r="J328" s="172"/>
      <c r="K328" s="172"/>
      <c r="L328" s="162"/>
      <c r="M328" s="162"/>
      <c r="N328" s="162"/>
      <c r="O328" s="162"/>
      <c r="P328" s="25"/>
      <c r="Q328" s="24"/>
      <c r="R328" s="24"/>
    </row>
    <row r="329" spans="2:18" s="21" customFormat="1" x14ac:dyDescent="0.25">
      <c r="B329" s="24"/>
      <c r="C329" s="24"/>
      <c r="D329" s="24"/>
      <c r="E329" s="24"/>
      <c r="F329" s="24"/>
      <c r="G329" s="25"/>
      <c r="H329" s="162"/>
      <c r="I329" s="162"/>
      <c r="J329" s="172"/>
      <c r="K329" s="172"/>
      <c r="L329" s="162"/>
      <c r="M329" s="162"/>
      <c r="N329" s="162"/>
      <c r="O329" s="162"/>
      <c r="P329" s="25"/>
      <c r="Q329" s="24"/>
      <c r="R329" s="24"/>
    </row>
    <row r="330" spans="2:18" s="21" customFormat="1" x14ac:dyDescent="0.25">
      <c r="B330" s="24"/>
      <c r="C330" s="24"/>
      <c r="D330" s="24"/>
      <c r="E330" s="24"/>
      <c r="F330" s="24"/>
      <c r="G330" s="25"/>
      <c r="H330" s="162"/>
      <c r="I330" s="162"/>
      <c r="J330" s="172"/>
      <c r="K330" s="172"/>
      <c r="L330" s="162"/>
      <c r="M330" s="162"/>
      <c r="N330" s="162"/>
      <c r="O330" s="162"/>
      <c r="P330" s="25"/>
      <c r="Q330" s="24"/>
      <c r="R330" s="24"/>
    </row>
    <row r="331" spans="2:18" s="21" customFormat="1" x14ac:dyDescent="0.25">
      <c r="B331" s="24"/>
      <c r="C331" s="24"/>
      <c r="D331" s="24"/>
      <c r="E331" s="24"/>
      <c r="F331" s="24"/>
      <c r="G331" s="25"/>
      <c r="H331" s="162"/>
      <c r="I331" s="162"/>
      <c r="J331" s="172"/>
      <c r="K331" s="172"/>
      <c r="L331" s="162"/>
      <c r="M331" s="162"/>
      <c r="N331" s="162"/>
      <c r="O331" s="162"/>
      <c r="P331" s="25"/>
      <c r="Q331" s="24"/>
      <c r="R331" s="24"/>
    </row>
    <row r="332" spans="2:18" s="21" customFormat="1" x14ac:dyDescent="0.25">
      <c r="B332" s="24"/>
      <c r="C332" s="24"/>
      <c r="D332" s="24"/>
      <c r="E332" s="24"/>
      <c r="F332" s="24"/>
      <c r="G332" s="25"/>
      <c r="H332" s="162"/>
      <c r="I332" s="162"/>
      <c r="J332" s="172"/>
      <c r="K332" s="172"/>
      <c r="L332" s="162"/>
      <c r="M332" s="162"/>
      <c r="N332" s="162"/>
      <c r="O332" s="162"/>
      <c r="P332" s="25"/>
      <c r="Q332" s="24"/>
      <c r="R332" s="24"/>
    </row>
    <row r="333" spans="2:18" s="21" customFormat="1" x14ac:dyDescent="0.25">
      <c r="B333" s="24"/>
      <c r="C333" s="24"/>
      <c r="D333" s="24"/>
      <c r="E333" s="24"/>
      <c r="F333" s="24"/>
      <c r="G333" s="25"/>
      <c r="H333" s="162"/>
      <c r="I333" s="162"/>
      <c r="J333" s="172"/>
      <c r="K333" s="172"/>
      <c r="L333" s="162"/>
      <c r="M333" s="162"/>
      <c r="N333" s="162"/>
      <c r="O333" s="162"/>
      <c r="P333" s="25"/>
      <c r="Q333" s="24"/>
      <c r="R333" s="24"/>
    </row>
    <row r="334" spans="2:18" s="21" customFormat="1" x14ac:dyDescent="0.25">
      <c r="B334" s="24"/>
      <c r="C334" s="24"/>
      <c r="D334" s="24"/>
      <c r="E334" s="24"/>
      <c r="F334" s="24"/>
      <c r="G334" s="25"/>
      <c r="H334" s="162"/>
      <c r="I334" s="162"/>
      <c r="J334" s="172"/>
      <c r="K334" s="172"/>
      <c r="L334" s="162"/>
      <c r="M334" s="162"/>
      <c r="N334" s="162"/>
      <c r="O334" s="162"/>
      <c r="P334" s="25"/>
      <c r="Q334" s="24"/>
      <c r="R334" s="24"/>
    </row>
    <row r="335" spans="2:18" s="21" customFormat="1" x14ac:dyDescent="0.25">
      <c r="B335" s="24"/>
      <c r="C335" s="24"/>
      <c r="D335" s="24"/>
      <c r="E335" s="24"/>
      <c r="F335" s="24"/>
      <c r="G335" s="25"/>
      <c r="H335" s="162"/>
      <c r="I335" s="162"/>
      <c r="J335" s="172"/>
      <c r="K335" s="172"/>
      <c r="L335" s="162"/>
      <c r="M335" s="162"/>
      <c r="N335" s="162"/>
      <c r="O335" s="162"/>
      <c r="P335" s="25"/>
      <c r="Q335" s="24"/>
      <c r="R335" s="24"/>
    </row>
    <row r="336" spans="2:18" s="21" customFormat="1" x14ac:dyDescent="0.25">
      <c r="B336" s="24"/>
      <c r="C336" s="24"/>
      <c r="D336" s="24"/>
      <c r="E336" s="24"/>
      <c r="F336" s="24"/>
      <c r="G336" s="25"/>
      <c r="H336" s="162"/>
      <c r="I336" s="162"/>
      <c r="J336" s="172"/>
      <c r="K336" s="172"/>
      <c r="L336" s="162"/>
      <c r="M336" s="162"/>
      <c r="N336" s="162"/>
      <c r="O336" s="162"/>
      <c r="P336" s="25"/>
      <c r="Q336" s="24"/>
      <c r="R336" s="24"/>
    </row>
    <row r="337" spans="2:18" s="21" customFormat="1" x14ac:dyDescent="0.25">
      <c r="B337" s="24"/>
      <c r="C337" s="24"/>
      <c r="D337" s="24"/>
      <c r="E337" s="24"/>
      <c r="F337" s="24"/>
      <c r="G337" s="25"/>
      <c r="H337" s="162"/>
      <c r="I337" s="162"/>
      <c r="J337" s="172"/>
      <c r="K337" s="172"/>
      <c r="L337" s="162"/>
      <c r="M337" s="162"/>
      <c r="N337" s="162"/>
      <c r="O337" s="162"/>
      <c r="P337" s="25"/>
      <c r="Q337" s="24"/>
      <c r="R337" s="24"/>
    </row>
  </sheetData>
  <mergeCells count="2">
    <mergeCell ref="A66:T66"/>
    <mergeCell ref="S1:V1"/>
  </mergeCells>
  <pageMargins left="0.7" right="0.7" top="0.75" bottom="0.75" header="0.3" footer="0.3"/>
  <pageSetup scale="44" fitToHeight="0" orientation="landscape" horizontalDpi="1200" verticalDpi="1200" r:id="rId1"/>
  <ignoredErrors>
    <ignoredError sqref="H240 H297 H291 H279 H272 H266 H263 H255 H243 H230 H221 H218 H203 H200 H184 H181 H178 H169 H166 H135 H132 H129 H127 G128 H71 H76 G20 J245:K245 J284 F25 J34 F20 H189" formula="1"/>
    <ignoredError sqref="D24 I68 I124 I169 I181 L21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zoomScale="80" zoomScaleNormal="80" zoomScalePageLayoutView="80" workbookViewId="0">
      <pane xSplit="1" topLeftCell="B1" activePane="topRight" state="frozen"/>
      <selection pane="topRight" activeCell="C7" sqref="C7"/>
    </sheetView>
  </sheetViews>
  <sheetFormatPr defaultColWidth="11" defaultRowHeight="15.75" x14ac:dyDescent="0.25"/>
  <cols>
    <col min="1" max="1" width="56.375" customWidth="1"/>
    <col min="2" max="2" width="5.625" customWidth="1"/>
    <col min="3" max="3" width="19.625" customWidth="1"/>
    <col min="4" max="4" width="15.625" customWidth="1"/>
    <col min="5" max="5" width="15" customWidth="1"/>
    <col min="6" max="6" width="14.375" customWidth="1"/>
    <col min="7" max="7" width="5" customWidth="1"/>
    <col min="8" max="8" width="33.5" customWidth="1"/>
    <col min="9" max="9" width="4.875" customWidth="1"/>
    <col min="10" max="10" width="31.625" customWidth="1"/>
    <col min="13" max="13" width="18" customWidth="1"/>
  </cols>
  <sheetData>
    <row r="1" spans="1:10" ht="25.5" x14ac:dyDescent="0.45">
      <c r="A1" s="36" t="s">
        <v>233</v>
      </c>
      <c r="B1" s="37"/>
      <c r="C1" s="38"/>
      <c r="D1" s="38"/>
      <c r="E1" s="37"/>
      <c r="F1" s="37"/>
      <c r="G1" s="37"/>
      <c r="H1" s="37"/>
      <c r="I1" s="37"/>
      <c r="J1" s="37"/>
    </row>
    <row r="2" spans="1:10" ht="21" x14ac:dyDescent="0.4">
      <c r="A2" s="39"/>
      <c r="B2" s="37"/>
      <c r="C2" s="38"/>
      <c r="D2" s="38"/>
      <c r="E2" s="37"/>
      <c r="F2" s="37"/>
      <c r="G2" s="37"/>
      <c r="H2" s="37"/>
      <c r="I2" s="37"/>
      <c r="J2" s="37"/>
    </row>
    <row r="3" spans="1:10" ht="21.75" thickBot="1" x14ac:dyDescent="0.45">
      <c r="A3" s="39"/>
      <c r="B3" s="37"/>
      <c r="C3" s="38"/>
      <c r="D3" s="38"/>
      <c r="E3" s="37"/>
      <c r="F3" s="37"/>
      <c r="G3" s="37"/>
      <c r="H3" s="37"/>
      <c r="I3" s="37"/>
      <c r="J3" s="37"/>
    </row>
    <row r="4" spans="1:10" ht="93" customHeight="1" thickBot="1" x14ac:dyDescent="0.4">
      <c r="A4" s="39"/>
      <c r="B4" s="37"/>
      <c r="C4" s="278" t="s">
        <v>234</v>
      </c>
      <c r="D4" s="279"/>
      <c r="E4" s="279"/>
      <c r="F4" s="280"/>
      <c r="G4" s="37"/>
      <c r="H4" s="40" t="s">
        <v>235</v>
      </c>
      <c r="I4" s="37"/>
      <c r="J4" s="41" t="s">
        <v>236</v>
      </c>
    </row>
    <row r="5" spans="1:10" ht="21.75" thickBot="1" x14ac:dyDescent="0.45">
      <c r="A5" s="39"/>
      <c r="B5" s="37"/>
      <c r="C5" s="38"/>
      <c r="D5" s="42"/>
      <c r="E5" s="37"/>
      <c r="F5" s="37"/>
      <c r="G5" s="37"/>
      <c r="H5" s="43">
        <v>1</v>
      </c>
      <c r="I5" s="37"/>
      <c r="J5" s="37"/>
    </row>
    <row r="6" spans="1:10" ht="84.75" customHeight="1" thickBot="1" x14ac:dyDescent="0.45">
      <c r="A6" s="44" t="s">
        <v>237</v>
      </c>
      <c r="B6" s="45"/>
      <c r="C6" s="46" t="s">
        <v>310</v>
      </c>
      <c r="D6" s="47" t="s">
        <v>311</v>
      </c>
      <c r="E6" s="47" t="s">
        <v>311</v>
      </c>
      <c r="F6" s="48" t="s">
        <v>312</v>
      </c>
      <c r="G6" s="45"/>
      <c r="H6" s="49" t="s">
        <v>238</v>
      </c>
      <c r="I6" s="45"/>
      <c r="J6" s="50" t="s">
        <v>269</v>
      </c>
    </row>
    <row r="7" spans="1:10" ht="21.75" thickBot="1" x14ac:dyDescent="0.45">
      <c r="A7" s="51" t="s">
        <v>239</v>
      </c>
      <c r="B7" s="38"/>
      <c r="C7" s="52">
        <v>564591000</v>
      </c>
      <c r="D7" s="53">
        <v>-5688400</v>
      </c>
      <c r="E7" s="54">
        <v>-9.9747597405762858E-3</v>
      </c>
      <c r="F7" s="55">
        <v>1</v>
      </c>
      <c r="G7" s="37"/>
      <c r="H7" s="56">
        <v>13916800</v>
      </c>
      <c r="I7" s="37"/>
      <c r="J7" s="57">
        <v>578507500</v>
      </c>
    </row>
    <row r="8" spans="1:10" ht="21" x14ac:dyDescent="0.4">
      <c r="A8" s="58"/>
      <c r="B8" s="38"/>
      <c r="C8" s="59"/>
      <c r="D8" s="60"/>
      <c r="E8" s="61"/>
      <c r="F8" s="62"/>
      <c r="G8" s="37"/>
      <c r="H8" s="63"/>
      <c r="I8" s="37"/>
      <c r="J8" s="63"/>
    </row>
    <row r="9" spans="1:10" ht="21" x14ac:dyDescent="0.4">
      <c r="A9" s="64" t="s">
        <v>240</v>
      </c>
      <c r="B9" s="38"/>
      <c r="C9" s="59">
        <v>25523000</v>
      </c>
      <c r="D9" s="60">
        <v>-239800</v>
      </c>
      <c r="E9" s="61">
        <v>-9.3079944726504882E-3</v>
      </c>
      <c r="F9" s="62">
        <v>4.5206175798055581E-2</v>
      </c>
      <c r="G9" s="37"/>
      <c r="H9" s="63">
        <v>265600</v>
      </c>
      <c r="I9" s="37"/>
      <c r="J9" s="63">
        <v>25805500</v>
      </c>
    </row>
    <row r="10" spans="1:10" ht="21" x14ac:dyDescent="0.4">
      <c r="A10" s="64" t="s">
        <v>241</v>
      </c>
      <c r="B10" s="38"/>
      <c r="C10" s="59">
        <v>109438500</v>
      </c>
      <c r="D10" s="60">
        <v>-1105200</v>
      </c>
      <c r="E10" s="61">
        <v>-9.9978560514981853E-3</v>
      </c>
      <c r="F10" s="62">
        <v>0.19383677741940625</v>
      </c>
      <c r="G10" s="37"/>
      <c r="H10" s="63">
        <v>2967300</v>
      </c>
      <c r="I10" s="37"/>
      <c r="J10" s="63">
        <v>112401200</v>
      </c>
    </row>
    <row r="11" spans="1:10" ht="21.75" thickBot="1" x14ac:dyDescent="0.45">
      <c r="A11" s="65" t="s">
        <v>242</v>
      </c>
      <c r="B11" s="38"/>
      <c r="C11" s="59">
        <v>175823200</v>
      </c>
      <c r="D11" s="60">
        <v>-1598400</v>
      </c>
      <c r="E11" s="61">
        <v>-9.0090496309355797E-3</v>
      </c>
      <c r="F11" s="62">
        <v>0.31141693721649832</v>
      </c>
      <c r="G11" s="37"/>
      <c r="H11" s="63">
        <v>2765100</v>
      </c>
      <c r="I11" s="37"/>
      <c r="J11" s="63">
        <v>178759800</v>
      </c>
    </row>
    <row r="12" spans="1:10" ht="21.75" thickBot="1" x14ac:dyDescent="0.45">
      <c r="A12" s="51" t="s">
        <v>243</v>
      </c>
      <c r="B12" s="38"/>
      <c r="C12" s="52">
        <v>310784700</v>
      </c>
      <c r="D12" s="53">
        <v>-2943400</v>
      </c>
      <c r="E12" s="54">
        <v>-9.3820094534088593E-3</v>
      </c>
      <c r="F12" s="66">
        <v>0.55045989043396015</v>
      </c>
      <c r="G12" s="37"/>
      <c r="H12" s="56">
        <v>5998000</v>
      </c>
      <c r="I12" s="37"/>
      <c r="J12" s="57">
        <v>316966500</v>
      </c>
    </row>
    <row r="13" spans="1:10" ht="21" x14ac:dyDescent="0.4">
      <c r="A13" s="64"/>
      <c r="B13" s="38"/>
      <c r="C13" s="59"/>
      <c r="D13" s="60"/>
      <c r="E13" s="61"/>
      <c r="F13" s="62"/>
      <c r="G13" s="37"/>
      <c r="H13" s="67"/>
      <c r="I13" s="37"/>
      <c r="J13" s="63"/>
    </row>
    <row r="14" spans="1:10" ht="21" x14ac:dyDescent="0.4">
      <c r="A14" s="64" t="s">
        <v>244</v>
      </c>
      <c r="B14" s="38"/>
      <c r="C14" s="59">
        <v>25603100</v>
      </c>
      <c r="D14" s="60">
        <v>-202600</v>
      </c>
      <c r="E14" s="61">
        <v>-7.8509786597534652E-3</v>
      </c>
      <c r="F14" s="62">
        <v>4.5348048410265129E-2</v>
      </c>
      <c r="G14" s="37"/>
      <c r="H14" s="63">
        <v>1112200</v>
      </c>
      <c r="I14" s="37"/>
      <c r="J14" s="63">
        <v>26769700</v>
      </c>
    </row>
    <row r="15" spans="1:10" ht="21" x14ac:dyDescent="0.4">
      <c r="A15" s="64" t="s">
        <v>245</v>
      </c>
      <c r="B15" s="38"/>
      <c r="C15" s="59">
        <v>26046100</v>
      </c>
      <c r="D15" s="60">
        <v>-253700</v>
      </c>
      <c r="E15" s="61">
        <v>-9.6464611898189334E-3</v>
      </c>
      <c r="F15" s="62">
        <v>4.6132687201885965E-2</v>
      </c>
      <c r="G15" s="37"/>
      <c r="H15" s="63">
        <v>1076400</v>
      </c>
      <c r="I15" s="37"/>
      <c r="J15" s="63">
        <v>27131100</v>
      </c>
    </row>
    <row r="16" spans="1:10" ht="21" x14ac:dyDescent="0.4">
      <c r="A16" s="64" t="s">
        <v>246</v>
      </c>
      <c r="B16" s="38"/>
      <c r="C16" s="59">
        <v>9706900</v>
      </c>
      <c r="D16" s="60">
        <v>-181600</v>
      </c>
      <c r="E16" s="61">
        <v>-1.8364767153764474E-2</v>
      </c>
      <c r="F16" s="62">
        <v>1.7192799743531158E-2</v>
      </c>
      <c r="G16" s="37"/>
      <c r="H16" s="63">
        <v>484800</v>
      </c>
      <c r="I16" s="37"/>
      <c r="J16" s="63">
        <v>10108500</v>
      </c>
    </row>
    <row r="17" spans="1:13" ht="21.75" thickBot="1" x14ac:dyDescent="0.45">
      <c r="A17" s="64" t="s">
        <v>247</v>
      </c>
      <c r="B17" s="38"/>
      <c r="C17" s="59">
        <v>15996900</v>
      </c>
      <c r="D17" s="60">
        <v>-120700</v>
      </c>
      <c r="E17" s="61">
        <v>-7.488707996227726E-3</v>
      </c>
      <c r="F17" s="62">
        <v>2.8333607868350718E-2</v>
      </c>
      <c r="G17" s="37"/>
      <c r="H17" s="63">
        <v>1189300</v>
      </c>
      <c r="I17" s="37"/>
      <c r="J17" s="63">
        <v>17226200</v>
      </c>
    </row>
    <row r="18" spans="1:13" ht="21.75" thickBot="1" x14ac:dyDescent="0.45">
      <c r="A18" s="51" t="s">
        <v>248</v>
      </c>
      <c r="B18" s="38"/>
      <c r="C18" s="52">
        <v>77353000</v>
      </c>
      <c r="D18" s="53">
        <v>-758600</v>
      </c>
      <c r="E18" s="54">
        <v>-9.7117457586325204E-3</v>
      </c>
      <c r="F18" s="66">
        <v>0.13700714322403298</v>
      </c>
      <c r="G18" s="37"/>
      <c r="H18" s="56">
        <v>3862700</v>
      </c>
      <c r="I18" s="37"/>
      <c r="J18" s="57">
        <v>81235500</v>
      </c>
      <c r="M18" s="130"/>
    </row>
    <row r="19" spans="1:13" ht="21" x14ac:dyDescent="0.4">
      <c r="A19" s="64"/>
      <c r="B19" s="38"/>
      <c r="C19" s="59"/>
      <c r="D19" s="60"/>
      <c r="E19" s="61"/>
      <c r="F19" s="62"/>
      <c r="G19" s="37"/>
      <c r="H19" s="67"/>
      <c r="I19" s="37"/>
      <c r="J19" s="63"/>
    </row>
    <row r="20" spans="1:13" ht="21" x14ac:dyDescent="0.4">
      <c r="A20" s="64" t="s">
        <v>249</v>
      </c>
      <c r="B20" s="38"/>
      <c r="C20" s="59">
        <v>10985700</v>
      </c>
      <c r="D20" s="60">
        <v>-150200</v>
      </c>
      <c r="E20" s="61">
        <v>-1.3487908476189621E-2</v>
      </c>
      <c r="F20" s="62">
        <v>1.9457802196634379E-2</v>
      </c>
      <c r="G20" s="37"/>
      <c r="H20" s="63">
        <v>180400</v>
      </c>
      <c r="I20" s="37"/>
      <c r="J20" s="63">
        <v>11127400</v>
      </c>
    </row>
    <row r="21" spans="1:13" ht="21" x14ac:dyDescent="0.4">
      <c r="A21" s="64" t="s">
        <v>250</v>
      </c>
      <c r="B21" s="38"/>
      <c r="C21" s="59">
        <v>1936100</v>
      </c>
      <c r="D21" s="60">
        <v>-25600</v>
      </c>
      <c r="E21" s="61">
        <v>-1.3049905694040883E-2</v>
      </c>
      <c r="F21" s="62">
        <v>3.429208046178561E-3</v>
      </c>
      <c r="G21" s="37"/>
      <c r="H21" s="63">
        <v>0</v>
      </c>
      <c r="I21" s="37"/>
      <c r="J21" s="63">
        <v>1930100</v>
      </c>
    </row>
    <row r="22" spans="1:13" ht="21" x14ac:dyDescent="0.4">
      <c r="A22" s="64" t="s">
        <v>251</v>
      </c>
      <c r="B22" s="38"/>
      <c r="C22" s="59">
        <v>7036200</v>
      </c>
      <c r="D22" s="60">
        <v>-144800</v>
      </c>
      <c r="E22" s="61">
        <v>-2.0164322517755188E-2</v>
      </c>
      <c r="F22" s="62">
        <v>1.2462472834317232E-2</v>
      </c>
      <c r="G22" s="37"/>
      <c r="H22" s="63">
        <v>0</v>
      </c>
      <c r="I22" s="37"/>
      <c r="J22" s="63">
        <v>6963300</v>
      </c>
    </row>
    <row r="23" spans="1:13" ht="21" x14ac:dyDescent="0.4">
      <c r="A23" s="64" t="s">
        <v>252</v>
      </c>
      <c r="B23" s="38"/>
      <c r="C23" s="59">
        <v>3860000</v>
      </c>
      <c r="D23" s="60">
        <v>-54300</v>
      </c>
      <c r="E23" s="61">
        <v>-1.3872212145211149E-2</v>
      </c>
      <c r="F23" s="62">
        <v>6.8368075296984894E-3</v>
      </c>
      <c r="G23" s="37"/>
      <c r="H23" s="63">
        <v>325500</v>
      </c>
      <c r="I23" s="37"/>
      <c r="J23" s="63">
        <v>4170400</v>
      </c>
    </row>
    <row r="24" spans="1:13" ht="21" x14ac:dyDescent="0.4">
      <c r="A24" s="64" t="s">
        <v>253</v>
      </c>
      <c r="B24" s="38"/>
      <c r="C24" s="59">
        <v>21387300</v>
      </c>
      <c r="D24" s="60">
        <v>-237100</v>
      </c>
      <c r="E24" s="61">
        <v>-1.0964466066110505E-2</v>
      </c>
      <c r="F24" s="62">
        <v>3.7881050176145209E-2</v>
      </c>
      <c r="G24" s="37"/>
      <c r="H24" s="63">
        <v>399500</v>
      </c>
      <c r="I24" s="37"/>
      <c r="J24" s="63">
        <v>21766100</v>
      </c>
    </row>
    <row r="25" spans="1:13" ht="21" x14ac:dyDescent="0.4">
      <c r="A25" s="64" t="s">
        <v>254</v>
      </c>
      <c r="B25" s="38"/>
      <c r="C25" s="59">
        <v>3320100</v>
      </c>
      <c r="D25" s="60">
        <v>-59700</v>
      </c>
      <c r="E25" s="61">
        <v>-1.7663767086809869E-2</v>
      </c>
      <c r="F25" s="62">
        <v>5.880540072370973E-3</v>
      </c>
      <c r="G25" s="37"/>
      <c r="H25" s="63">
        <v>0</v>
      </c>
      <c r="I25" s="37"/>
      <c r="J25" s="63">
        <v>3294200</v>
      </c>
    </row>
    <row r="26" spans="1:13" ht="21" x14ac:dyDescent="0.4">
      <c r="A26" s="64" t="s">
        <v>255</v>
      </c>
      <c r="B26" s="38"/>
      <c r="C26" s="59">
        <v>8407100</v>
      </c>
      <c r="D26" s="60">
        <v>-159600</v>
      </c>
      <c r="E26" s="61">
        <v>-1.86302777031996E-2</v>
      </c>
      <c r="F26" s="62">
        <v>1.4890602223556522E-2</v>
      </c>
      <c r="G26" s="37"/>
      <c r="H26" s="63">
        <v>192100</v>
      </c>
      <c r="I26" s="37"/>
      <c r="J26" s="63">
        <v>8525100</v>
      </c>
    </row>
    <row r="27" spans="1:13" ht="21" x14ac:dyDescent="0.4">
      <c r="A27" s="64" t="s">
        <v>256</v>
      </c>
      <c r="B27" s="38"/>
      <c r="C27" s="59">
        <v>1710400</v>
      </c>
      <c r="D27" s="60">
        <v>-26300</v>
      </c>
      <c r="E27" s="61">
        <v>-1.5143663269419013E-2</v>
      </c>
      <c r="F27" s="62">
        <v>3.0294496369938592E-3</v>
      </c>
      <c r="G27" s="37"/>
      <c r="H27" s="63">
        <v>0</v>
      </c>
      <c r="I27" s="37"/>
      <c r="J27" s="63">
        <v>1701500</v>
      </c>
    </row>
    <row r="28" spans="1:13" ht="21" x14ac:dyDescent="0.4">
      <c r="A28" s="64" t="s">
        <v>257</v>
      </c>
      <c r="B28" s="38"/>
      <c r="C28" s="59">
        <v>3274100</v>
      </c>
      <c r="D28" s="60">
        <v>-22300</v>
      </c>
      <c r="E28" s="61">
        <v>-6.7649557092585855E-3</v>
      </c>
      <c r="F28" s="62">
        <v>5.7990651639859654E-3</v>
      </c>
      <c r="G28" s="37"/>
      <c r="H28" s="63">
        <v>223800</v>
      </c>
      <c r="I28" s="37"/>
      <c r="J28" s="63">
        <v>3508600</v>
      </c>
    </row>
    <row r="29" spans="1:13" ht="21" x14ac:dyDescent="0.4">
      <c r="A29" s="64" t="s">
        <v>258</v>
      </c>
      <c r="B29" s="38"/>
      <c r="C29" s="59">
        <v>5135200</v>
      </c>
      <c r="D29" s="60">
        <v>-49400</v>
      </c>
      <c r="E29" s="61">
        <v>-9.5282181846236928E-3</v>
      </c>
      <c r="F29" s="62">
        <v>9.0954336856237522E-3</v>
      </c>
      <c r="G29" s="37"/>
      <c r="H29" s="63">
        <v>155800</v>
      </c>
      <c r="I29" s="37"/>
      <c r="J29" s="63">
        <v>5293400</v>
      </c>
    </row>
    <row r="30" spans="1:13" ht="21" x14ac:dyDescent="0.4">
      <c r="A30" s="64" t="s">
        <v>259</v>
      </c>
      <c r="B30" s="38"/>
      <c r="C30" s="59">
        <v>52815800</v>
      </c>
      <c r="D30" s="60">
        <v>-279000</v>
      </c>
      <c r="E30" s="61">
        <v>-5.2547518777733412E-3</v>
      </c>
      <c r="F30" s="62">
        <v>9.354701013654132E-2</v>
      </c>
      <c r="G30" s="37"/>
      <c r="H30" s="63">
        <v>179700</v>
      </c>
      <c r="I30" s="37"/>
      <c r="J30" s="63">
        <v>53246900</v>
      </c>
    </row>
    <row r="31" spans="1:13" ht="21" x14ac:dyDescent="0.4">
      <c r="A31" s="64" t="s">
        <v>260</v>
      </c>
      <c r="B31" s="38"/>
      <c r="C31" s="59">
        <v>9094100</v>
      </c>
      <c r="D31" s="60">
        <v>-118000</v>
      </c>
      <c r="E31" s="61">
        <v>-1.2809240021276366E-2</v>
      </c>
      <c r="F31" s="62">
        <v>1.610741226835001E-2</v>
      </c>
      <c r="G31" s="37"/>
      <c r="H31" s="63">
        <v>272900</v>
      </c>
      <c r="I31" s="37"/>
      <c r="J31" s="63">
        <v>9340900</v>
      </c>
    </row>
    <row r="32" spans="1:13" ht="21" x14ac:dyDescent="0.4">
      <c r="A32" s="64" t="s">
        <v>261</v>
      </c>
      <c r="B32" s="38"/>
      <c r="C32" s="59">
        <v>6730900</v>
      </c>
      <c r="D32" s="60">
        <v>-142800</v>
      </c>
      <c r="E32" s="61">
        <v>-2.0774837423803774E-2</v>
      </c>
      <c r="F32" s="62">
        <v>1.1921727409753256E-2</v>
      </c>
      <c r="G32" s="37"/>
      <c r="H32" s="63">
        <v>797600</v>
      </c>
      <c r="I32" s="37"/>
      <c r="J32" s="63">
        <v>7454100</v>
      </c>
    </row>
    <row r="33" spans="1:10" ht="21" x14ac:dyDescent="0.4">
      <c r="A33" s="64" t="s">
        <v>262</v>
      </c>
      <c r="B33" s="38"/>
      <c r="C33" s="59">
        <v>3864200</v>
      </c>
      <c r="D33" s="60">
        <v>-78600</v>
      </c>
      <c r="E33" s="61">
        <v>-1.9935071522775693E-2</v>
      </c>
      <c r="F33" s="62">
        <v>6.8442465430727734E-3</v>
      </c>
      <c r="G33" s="37"/>
      <c r="H33" s="63">
        <v>113000</v>
      </c>
      <c r="I33" s="37"/>
      <c r="J33" s="63">
        <v>3937900</v>
      </c>
    </row>
    <row r="34" spans="1:10" ht="21" x14ac:dyDescent="0.4">
      <c r="A34" s="64" t="s">
        <v>263</v>
      </c>
      <c r="B34" s="38"/>
      <c r="C34" s="59">
        <v>5157900</v>
      </c>
      <c r="D34" s="60">
        <v>-48600</v>
      </c>
      <c r="E34" s="61">
        <v>-9.3344857389801202E-3</v>
      </c>
      <c r="F34" s="62">
        <v>9.135639781718094E-3</v>
      </c>
      <c r="G34" s="37"/>
      <c r="H34" s="63">
        <v>472100</v>
      </c>
      <c r="I34" s="37"/>
      <c r="J34" s="63">
        <v>5633400</v>
      </c>
    </row>
    <row r="35" spans="1:10" ht="21" x14ac:dyDescent="0.4">
      <c r="A35" s="64" t="s">
        <v>264</v>
      </c>
      <c r="B35" s="38"/>
      <c r="C35" s="59">
        <v>22555400</v>
      </c>
      <c r="D35" s="60">
        <v>-329100</v>
      </c>
      <c r="E35" s="61">
        <v>-1.4380912844938714E-2</v>
      </c>
      <c r="F35" s="62">
        <v>3.994998149102625E-2</v>
      </c>
      <c r="G35" s="37"/>
      <c r="H35" s="63">
        <v>352100</v>
      </c>
      <c r="I35" s="37"/>
      <c r="J35" s="63">
        <v>22806700</v>
      </c>
    </row>
    <row r="36" spans="1:10" ht="21.75" thickBot="1" x14ac:dyDescent="0.45">
      <c r="A36" s="64" t="s">
        <v>265</v>
      </c>
      <c r="B36" s="38"/>
      <c r="C36" s="59">
        <v>9182800</v>
      </c>
      <c r="D36" s="60">
        <v>-61000</v>
      </c>
      <c r="E36" s="61">
        <v>-6.5990177199852871E-3</v>
      </c>
      <c r="F36" s="62">
        <v>1.6264517146040231E-2</v>
      </c>
      <c r="G36" s="37"/>
      <c r="H36" s="63">
        <v>391600</v>
      </c>
      <c r="I36" s="37"/>
      <c r="J36" s="63">
        <v>9605500</v>
      </c>
    </row>
    <row r="37" spans="1:10" ht="21.75" thickBot="1" x14ac:dyDescent="0.45">
      <c r="A37" s="68" t="s">
        <v>266</v>
      </c>
      <c r="B37" s="38"/>
      <c r="C37" s="52">
        <v>176453300</v>
      </c>
      <c r="D37" s="53">
        <v>-1986400</v>
      </c>
      <c r="E37" s="54">
        <v>-1.113205189203972E-2</v>
      </c>
      <c r="F37" s="66">
        <v>0.31253296634200689</v>
      </c>
      <c r="G37" s="37"/>
      <c r="H37" s="56">
        <v>4056100</v>
      </c>
      <c r="I37" s="37"/>
      <c r="J37" s="57">
        <v>180305500</v>
      </c>
    </row>
  </sheetData>
  <mergeCells count="1">
    <mergeCell ref="C4:F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37"/>
  <sheetViews>
    <sheetView topLeftCell="A23" workbookViewId="0">
      <selection activeCell="F38" sqref="F38"/>
    </sheetView>
  </sheetViews>
  <sheetFormatPr defaultColWidth="8.875" defaultRowHeight="15.75" x14ac:dyDescent="0.25"/>
  <cols>
    <col min="3" max="3" width="30.625" customWidth="1"/>
    <col min="4" max="4" width="22.625" customWidth="1"/>
    <col min="5" max="5" width="30.125" customWidth="1"/>
    <col min="6" max="6" width="25.5" customWidth="1"/>
    <col min="7" max="7" width="21.125" customWidth="1"/>
    <col min="8" max="8" width="18.875" customWidth="1"/>
    <col min="9" max="9" width="12.125" bestFit="1" customWidth="1"/>
    <col min="10" max="10" width="11.125" bestFit="1" customWidth="1"/>
  </cols>
  <sheetData>
    <row r="7" spans="3:10" ht="21" customHeight="1" x14ac:dyDescent="0.25">
      <c r="D7" s="209" t="s">
        <v>287</v>
      </c>
      <c r="E7" s="209" t="s">
        <v>286</v>
      </c>
      <c r="F7" s="209" t="s">
        <v>303</v>
      </c>
      <c r="G7" s="209" t="s">
        <v>290</v>
      </c>
      <c r="H7" s="209" t="s">
        <v>320</v>
      </c>
    </row>
    <row r="8" spans="3:10" x14ac:dyDescent="0.25">
      <c r="C8" t="s">
        <v>284</v>
      </c>
      <c r="D8" s="215">
        <f>'GF Summary'!B29+'GF Summary'!B30+'GF Summary'!B31+'GF Summary'!B288+'GF Summary'!B294+'GF Summary'!B300</f>
        <v>683902.39999999991</v>
      </c>
      <c r="E8" s="215">
        <f>'GF Summary'!E29+'GF Summary'!E30+'GF Summary'!E31+'GF Summary'!E288+'GF Summary'!E294+'GF Summary'!E300</f>
        <v>634201.79999999981</v>
      </c>
      <c r="F8" s="215">
        <f>'GF Summary'!L29+'GF Summary'!L30+'GF Summary'!L31+'GF Summary'!L288+'GF Summary'!L294+'GF Summary'!L300</f>
        <v>632179.29999999993</v>
      </c>
      <c r="G8" s="215">
        <f>'GF Summary'!H29+'GF Summary'!H30+'GF Summary'!H31+'GF Summary'!H288+'GF Summary'!H294+'GF Summary'!H300</f>
        <v>627907.9</v>
      </c>
      <c r="H8" s="215">
        <f>'GF Summary'!O29+'GF Summary'!O30+'GF Summary'!O31+'GF Summary'!O288+'GF Summary'!O294+'GF Summary'!O300</f>
        <v>627907.9</v>
      </c>
    </row>
    <row r="9" spans="3:10" x14ac:dyDescent="0.25">
      <c r="C9" t="s">
        <v>289</v>
      </c>
      <c r="D9" s="215">
        <v>0</v>
      </c>
      <c r="E9" s="215">
        <v>0</v>
      </c>
      <c r="F9" s="215">
        <f>'GF Summary'!L33+'GF Summary'!L34+('GF Summary'!L39-'GF Summary'!M39)</f>
        <v>18434.900000000045</v>
      </c>
      <c r="G9" s="215">
        <f>'GF Summary'!H33+'GF Summary'!H34+('GF Summary'!H39-'GF Summary'!I39)</f>
        <v>16785.400000000045</v>
      </c>
      <c r="H9" t="s">
        <v>280</v>
      </c>
    </row>
    <row r="10" spans="3:10" x14ac:dyDescent="0.25">
      <c r="C10" t="s">
        <v>283</v>
      </c>
      <c r="D10" s="215">
        <f>'GF Summary'!B33+'GF Summary'!B34+'GF Summary'!B35+'GF Summary'!B36+'GF Summary'!B39+'GF Summary'!B290+'GF Summary'!B295+'GF Summary'!B296+'GF Summary'!B301</f>
        <v>128274.40000000001</v>
      </c>
      <c r="E10" s="215">
        <f>'GF Summary'!E33+'GF Summary'!E34+'GF Summary'!E35+'GF Summary'!E36+'GF Summary'!E39+'GF Summary'!E290+'GF Summary'!E295+'GF Summary'!E296+'GF Summary'!E301</f>
        <v>118059.40000000002</v>
      </c>
      <c r="F10" s="215">
        <f>'GF Summary'!M35+'GF Summary'!M36+'GF Summary'!M39+'GF Summary'!M290+'GF Summary'!M295+'GF Summary'!M296+'GF Summary'!M301</f>
        <v>96656.600000000064</v>
      </c>
      <c r="G10" s="215">
        <f>'GF Summary'!I35+'GF Summary'!I36+'GF Summary'!I39+'GF Summary'!I290+'GF Summary'!I295+'GF Summary'!I296+'GF Summary'!I301</f>
        <v>100105.60000000021</v>
      </c>
      <c r="H10" s="215">
        <f>'GF Summary'!O33+'GF Summary'!O34+'GF Summary'!O35+'GF Summary'!O36+'GF Summary'!O39+'GF Summary'!O290+'GF Summary'!O295+'GF Summary'!O296+'GF Summary'!O301</f>
        <v>116941.00000000026</v>
      </c>
      <c r="I10" s="217"/>
      <c r="J10" s="216"/>
    </row>
    <row r="11" spans="3:10" x14ac:dyDescent="0.25">
      <c r="C11" t="s">
        <v>291</v>
      </c>
      <c r="D11" s="215">
        <f>'GF Summary'!B64</f>
        <v>36333.1</v>
      </c>
      <c r="E11" s="215">
        <f>'GF Summary'!E58+'GF Summary'!E63</f>
        <v>34606</v>
      </c>
      <c r="F11" s="215">
        <f>'GF Summary'!M58+'GF Summary'!M62</f>
        <v>34606</v>
      </c>
      <c r="G11" s="215">
        <f>'GF Summary'!I58+'GF Summary'!I62</f>
        <v>34496.199999999997</v>
      </c>
      <c r="H11" s="215">
        <f>'GF Summary'!O58+'GF Summary'!O62+500</f>
        <v>34996.199999999997</v>
      </c>
      <c r="J11" s="174"/>
    </row>
    <row r="12" spans="3:10" x14ac:dyDescent="0.25">
      <c r="C12" t="s">
        <v>288</v>
      </c>
      <c r="D12" s="215">
        <f>SUM(D8:D11)</f>
        <v>848509.89999999991</v>
      </c>
      <c r="E12" s="215">
        <f>SUM(E8:E11)</f>
        <v>786867.19999999984</v>
      </c>
      <c r="F12" s="215">
        <f>SUM(F8:F11)</f>
        <v>781876.8</v>
      </c>
      <c r="G12" s="215">
        <f>SUM(G8:G11)</f>
        <v>779295.10000000021</v>
      </c>
      <c r="H12" s="215">
        <f>SUM(H8:H11)</f>
        <v>779845.10000000021</v>
      </c>
    </row>
    <row r="13" spans="3:10" x14ac:dyDescent="0.25">
      <c r="E13" s="173">
        <f>(E8-D8)/D8</f>
        <v>-7.267206548770716E-2</v>
      </c>
      <c r="F13" s="173"/>
    </row>
    <row r="14" spans="3:10" x14ac:dyDescent="0.25">
      <c r="E14" s="173"/>
      <c r="F14" s="173"/>
    </row>
    <row r="16" spans="3:10" x14ac:dyDescent="0.25">
      <c r="D16" s="209" t="s">
        <v>287</v>
      </c>
      <c r="E16" s="209" t="s">
        <v>286</v>
      </c>
      <c r="F16" s="130" t="s">
        <v>320</v>
      </c>
      <c r="G16" s="209" t="s">
        <v>303</v>
      </c>
      <c r="H16" s="209" t="s">
        <v>290</v>
      </c>
    </row>
    <row r="17" spans="3:8" x14ac:dyDescent="0.25">
      <c r="C17" t="s">
        <v>284</v>
      </c>
      <c r="D17" s="130">
        <f t="shared" ref="D17:E20" si="0">D8*$D$23</f>
        <v>683902399.99999988</v>
      </c>
      <c r="E17" s="130">
        <f t="shared" si="0"/>
        <v>634201799.99999976</v>
      </c>
      <c r="F17" s="258">
        <f>H8*$D$23</f>
        <v>627907900</v>
      </c>
      <c r="G17" s="130">
        <f t="shared" ref="G17:H20" si="1">F8*$D$23</f>
        <v>632179299.99999988</v>
      </c>
      <c r="H17" s="130">
        <f t="shared" si="1"/>
        <v>627907900</v>
      </c>
    </row>
    <row r="18" spans="3:8" x14ac:dyDescent="0.25">
      <c r="C18" t="s">
        <v>293</v>
      </c>
      <c r="D18" s="130">
        <f t="shared" si="0"/>
        <v>0</v>
      </c>
      <c r="E18" s="130">
        <f t="shared" si="0"/>
        <v>0</v>
      </c>
      <c r="F18" s="258" t="s">
        <v>280</v>
      </c>
      <c r="G18" s="130">
        <f t="shared" si="1"/>
        <v>18434900.000000045</v>
      </c>
      <c r="H18" s="130">
        <f t="shared" si="1"/>
        <v>16785400.000000045</v>
      </c>
    </row>
    <row r="19" spans="3:8" x14ac:dyDescent="0.25">
      <c r="C19" t="s">
        <v>292</v>
      </c>
      <c r="D19" s="130">
        <f t="shared" si="0"/>
        <v>128274400.00000001</v>
      </c>
      <c r="E19" s="130">
        <f t="shared" si="0"/>
        <v>118059400.00000003</v>
      </c>
      <c r="F19" s="258">
        <f t="shared" ref="F19:F21" si="2">H10*$D$23</f>
        <v>116941000.00000027</v>
      </c>
      <c r="G19" s="130">
        <f t="shared" si="1"/>
        <v>96656600.00000006</v>
      </c>
      <c r="H19" s="130">
        <f t="shared" si="1"/>
        <v>100105600.00000021</v>
      </c>
    </row>
    <row r="20" spans="3:8" x14ac:dyDescent="0.25">
      <c r="C20" t="s">
        <v>291</v>
      </c>
      <c r="D20" s="130">
        <f t="shared" si="0"/>
        <v>36333100</v>
      </c>
      <c r="E20" s="130">
        <f t="shared" si="0"/>
        <v>34606000</v>
      </c>
      <c r="F20" s="258">
        <f t="shared" si="2"/>
        <v>34996200</v>
      </c>
      <c r="G20" s="130">
        <f t="shared" si="1"/>
        <v>34606000</v>
      </c>
      <c r="H20" s="130">
        <f t="shared" si="1"/>
        <v>34496200</v>
      </c>
    </row>
    <row r="21" spans="3:8" x14ac:dyDescent="0.25">
      <c r="C21" t="s">
        <v>288</v>
      </c>
      <c r="D21" s="130">
        <f>SUM(D17:D20)</f>
        <v>848509899.99999988</v>
      </c>
      <c r="E21" s="130">
        <f>SUM(E17:E20)</f>
        <v>786867199.99999976</v>
      </c>
      <c r="F21" s="258">
        <f t="shared" si="2"/>
        <v>779845100.00000024</v>
      </c>
      <c r="G21" s="130">
        <f>SUM(G17:G20)</f>
        <v>781876800</v>
      </c>
      <c r="H21" s="130">
        <f>SUM(H17:H20)</f>
        <v>779295100.00000024</v>
      </c>
    </row>
    <row r="23" spans="3:8" x14ac:dyDescent="0.25">
      <c r="D23">
        <v>1000</v>
      </c>
    </row>
    <row r="28" spans="3:8" ht="28.5" customHeight="1" x14ac:dyDescent="0.25"/>
    <row r="29" spans="3:8" x14ac:dyDescent="0.25">
      <c r="D29" t="s">
        <v>295</v>
      </c>
      <c r="E29" t="s">
        <v>296</v>
      </c>
      <c r="F29" t="s">
        <v>320</v>
      </c>
      <c r="G29" t="s">
        <v>294</v>
      </c>
    </row>
    <row r="30" spans="3:8" x14ac:dyDescent="0.25">
      <c r="C30" t="s">
        <v>298</v>
      </c>
      <c r="D30" s="130">
        <v>683902399.99999988</v>
      </c>
      <c r="E30" s="130">
        <v>634201799.99999976</v>
      </c>
      <c r="F30" s="130">
        <f>H8*1000</f>
        <v>627907900</v>
      </c>
      <c r="G30" s="130">
        <f>F30-D30</f>
        <v>-55994499.999999881</v>
      </c>
    </row>
    <row r="31" spans="3:8" x14ac:dyDescent="0.25">
      <c r="C31" t="s">
        <v>297</v>
      </c>
      <c r="D31" s="130">
        <v>128274400.00000001</v>
      </c>
      <c r="E31" s="130">
        <v>118058900.00000003</v>
      </c>
      <c r="F31" s="130">
        <f>H10*1000</f>
        <v>116941000.00000027</v>
      </c>
      <c r="G31" s="130">
        <f>F31-D31</f>
        <v>-11333399.999999747</v>
      </c>
    </row>
    <row r="32" spans="3:8" x14ac:dyDescent="0.25">
      <c r="D32" s="130">
        <f>SUM(D30:D31)</f>
        <v>812176799.99999988</v>
      </c>
      <c r="F32" s="130">
        <f>SUM(F30:F31)</f>
        <v>744848900.00000024</v>
      </c>
      <c r="G32" s="130">
        <f>G30+G31</f>
        <v>-67327899.999999627</v>
      </c>
    </row>
    <row r="34" spans="6:6" x14ac:dyDescent="0.25">
      <c r="F34" s="260">
        <f>1-(F30/D30)</f>
        <v>8.1874986840227315E-2</v>
      </c>
    </row>
    <row r="35" spans="6:6" x14ac:dyDescent="0.25">
      <c r="F35" s="260">
        <f>1-(F31/D31)</f>
        <v>8.8352781225246368E-2</v>
      </c>
    </row>
    <row r="37" spans="6:6" x14ac:dyDescent="0.25">
      <c r="F37">
        <f>1-(F32/D32)</f>
        <v>8.2898083274478673E-2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GF Summary</vt:lpstr>
      <vt:lpstr>Formula I&amp;G</vt:lpstr>
      <vt:lpstr>Historical GF Support</vt:lpstr>
      <vt:lpstr>'GF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Gutierrez</cp:lastModifiedBy>
  <cp:lastPrinted>2017-01-18T20:41:22Z</cp:lastPrinted>
  <dcterms:created xsi:type="dcterms:W3CDTF">2016-10-13T03:56:39Z</dcterms:created>
  <dcterms:modified xsi:type="dcterms:W3CDTF">2019-06-12T21:26:47Z</dcterms:modified>
</cp:coreProperties>
</file>